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60" activeTab="0"/>
  </bookViews>
  <sheets>
    <sheet name="SDM" sheetId="1" r:id="rId1"/>
    <sheet name="Cases &amp; Sections" sheetId="2" r:id="rId2"/>
  </sheets>
  <externalReferences>
    <externalReference r:id="rId5"/>
  </externalReferences>
  <definedNames>
    <definedName name="_Regression_Int" localSheetId="0" hidden="1">1</definedName>
    <definedName name="A">'SDM'!$C$14</definedName>
    <definedName name="B">'SDM'!$D$14</definedName>
    <definedName name="BAR1">'SDM'!$R$13</definedName>
    <definedName name="BAR2">'SDM'!$S$13</definedName>
    <definedName name="BAR3">'SDM'!$T$13</definedName>
    <definedName name="DA_1">'SDM'!$U$15</definedName>
    <definedName name="DA_2">'SDM'!$V$15</definedName>
    <definedName name="DA_3">'SDM'!$W$15</definedName>
    <definedName name="DB_1">'SDM'!$U$18</definedName>
    <definedName name="DB_2">'SDM'!$V$18</definedName>
    <definedName name="DB_3">'SDM'!$W$18</definedName>
    <definedName name="DC">'SDM'!$J$10</definedName>
    <definedName name="DIA1">'SDM'!$AA$5</definedName>
    <definedName name="DIA2">'SDM'!$AB$5</definedName>
    <definedName name="DIA3">'SDM'!$AC$5</definedName>
    <definedName name="DL">'SDM'!$H$14</definedName>
    <definedName name="FC_">'SDM'!$E$3</definedName>
    <definedName name="FDL">'SDM'!$Q$9</definedName>
    <definedName name="FLL">'SDM'!$Q$10</definedName>
    <definedName name="FY_1">'SDM'!$AA$7</definedName>
    <definedName name="FY_2">'SDM'!$AB$7</definedName>
    <definedName name="FY_3">'SDM'!$AC$7</definedName>
    <definedName name="K">'SDM'!$AD$5</definedName>
    <definedName name="LIVE">'SDM'!$F$14</definedName>
    <definedName name="LL">'SDM'!$I$14</definedName>
    <definedName name="M">'SDM'!$K$14</definedName>
    <definedName name="MU">'SDM'!$Q$14</definedName>
    <definedName name="PMAX1">'SDM'!$AA$9</definedName>
    <definedName name="PMAX2">'SDM'!$AB$9</definedName>
    <definedName name="PMAX3">'SDM'!$AC$9</definedName>
    <definedName name="PMIN1">'SDM'!$AA$11</definedName>
    <definedName name="PMIN2">'SDM'!$AB$11</definedName>
    <definedName name="PMIN3">'SDM'!$AC$11</definedName>
    <definedName name="_xlnm.Print_Area" localSheetId="0">'SDM'!$A$1:$T$49</definedName>
    <definedName name="Print_Area_MI" localSheetId="0">'SDM'!$A$1:$T$55</definedName>
    <definedName name="T">'SDM'!$E$14</definedName>
    <definedName name="T_AREA">'SDM'!$X$2:$Y$11</definedName>
    <definedName name="T_FY">'SDM'!$B$4:$E$5</definedName>
    <definedName name="T_PMIN">'SDM'!$B$7:$E$9</definedName>
    <definedName name="TA_1">'SDM'!$AG$2:$AP$12</definedName>
    <definedName name="TA_2">'SDM'!$BC$2:$BL$12</definedName>
    <definedName name="TA_3">'SDM'!$BY$2:$CH$12</definedName>
    <definedName name="TA_4">'SDM'!$CU$2:$DD$12</definedName>
    <definedName name="TB_1">'SDM'!$AR$2:$BA$12</definedName>
    <definedName name="TB_2">'SDM'!$BN$2:$BW$12</definedName>
    <definedName name="TB_3">'SDM'!$CJ$2:$CS$12</definedName>
    <definedName name="TB_4">'SDM'!$DF$2:$DO$12</definedName>
    <definedName name="TL">'SDM'!$J$14</definedName>
    <definedName name="TYPE">'SDM'!$B$14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J.Natavit</author>
    <author>Natavit</author>
  </authors>
  <commentList>
    <comment ref="U13" authorId="0">
      <text>
        <r>
          <rPr>
            <b/>
            <sz val="10"/>
            <color indexed="17"/>
            <rFont val="MS Sans Serif"/>
            <family val="2"/>
          </rPr>
          <t>J.Natavit:</t>
        </r>
        <r>
          <rPr>
            <sz val="10"/>
            <rFont val="MS Sans Serif"/>
            <family val="2"/>
          </rPr>
          <t xml:space="preserve">
</t>
        </r>
        <r>
          <rPr>
            <sz val="10"/>
            <color indexed="12"/>
            <rFont val="MS Sans Serif"/>
            <family val="2"/>
          </rPr>
          <t>ใช้สำหรับเหล็กล่างทางยาวเท่านั้น</t>
        </r>
      </text>
    </comment>
    <comment ref="K15" authorId="0">
      <text>
        <r>
          <rPr>
            <b/>
            <sz val="10"/>
            <color indexed="17"/>
            <rFont val="MS Sans Serif"/>
            <family val="2"/>
          </rPr>
          <t>J.Natavit:</t>
        </r>
        <r>
          <rPr>
            <sz val="10"/>
            <rFont val="MS Sans Serif"/>
            <family val="2"/>
          </rPr>
          <t xml:space="preserve">
</t>
        </r>
        <r>
          <rPr>
            <sz val="10"/>
            <color indexed="12"/>
            <rFont val="MS Sans Serif"/>
            <family val="2"/>
          </rPr>
          <t>ขนาดเสันผ่าศูนย์กลางของเหล็กล่างทางสั้นที่เลื่อกใช้</t>
        </r>
      </text>
    </comment>
    <comment ref="V13" authorId="0">
      <text>
        <r>
          <rPr>
            <b/>
            <sz val="10"/>
            <color indexed="17"/>
            <rFont val="MS Sans Serif"/>
            <family val="2"/>
          </rPr>
          <t>J.Natavit:</t>
        </r>
        <r>
          <rPr>
            <sz val="10"/>
            <rFont val="MS Sans Serif"/>
            <family val="2"/>
          </rPr>
          <t xml:space="preserve">
</t>
        </r>
        <r>
          <rPr>
            <sz val="10"/>
            <color indexed="12"/>
            <rFont val="MS Sans Serif"/>
            <family val="2"/>
          </rPr>
          <t>ใช้สำหรับเหล็กล่างทางยาวเท่านั้น</t>
        </r>
      </text>
    </comment>
    <comment ref="W13" authorId="0">
      <text>
        <r>
          <rPr>
            <b/>
            <sz val="10"/>
            <color indexed="17"/>
            <rFont val="MS Sans Serif"/>
            <family val="2"/>
          </rPr>
          <t>J.Natavit:</t>
        </r>
        <r>
          <rPr>
            <sz val="10"/>
            <rFont val="MS Sans Serif"/>
            <family val="2"/>
          </rPr>
          <t xml:space="preserve">
</t>
        </r>
        <r>
          <rPr>
            <sz val="10"/>
            <color indexed="12"/>
            <rFont val="MS Sans Serif"/>
            <family val="2"/>
          </rPr>
          <t>ใช้สำหรับเหล็กล่างทางยาวเท่านั้น</t>
        </r>
      </text>
    </comment>
    <comment ref="K21" authorId="0">
      <text>
        <r>
          <rPr>
            <b/>
            <sz val="10"/>
            <color indexed="17"/>
            <rFont val="MS Sans Serif"/>
            <family val="2"/>
          </rPr>
          <t>J.Natavit:</t>
        </r>
        <r>
          <rPr>
            <sz val="10"/>
            <rFont val="MS Sans Serif"/>
            <family val="2"/>
          </rPr>
          <t xml:space="preserve">
</t>
        </r>
        <r>
          <rPr>
            <sz val="10"/>
            <color indexed="12"/>
            <rFont val="MS Sans Serif"/>
            <family val="2"/>
          </rPr>
          <t>ขนาดเสันผ่าศูนย์กลางของเหล็กล่างทางสั้นที่เลื่อกใช้</t>
        </r>
      </text>
    </comment>
    <comment ref="K27" authorId="0">
      <text>
        <r>
          <rPr>
            <b/>
            <sz val="10"/>
            <color indexed="17"/>
            <rFont val="MS Sans Serif"/>
            <family val="2"/>
          </rPr>
          <t>J.Natavit:</t>
        </r>
        <r>
          <rPr>
            <sz val="10"/>
            <rFont val="MS Sans Serif"/>
            <family val="2"/>
          </rPr>
          <t xml:space="preserve">
</t>
        </r>
        <r>
          <rPr>
            <sz val="10"/>
            <color indexed="12"/>
            <rFont val="MS Sans Serif"/>
            <family val="2"/>
          </rPr>
          <t>ขนาดเสันผ่าศูนย์กลางของเหล็กล่างทางสั้นที่เลื่อกใช้</t>
        </r>
      </text>
    </comment>
    <comment ref="K33" authorId="0">
      <text>
        <r>
          <rPr>
            <b/>
            <sz val="10"/>
            <color indexed="17"/>
            <rFont val="MS Sans Serif"/>
            <family val="2"/>
          </rPr>
          <t>J.Natavit:</t>
        </r>
        <r>
          <rPr>
            <sz val="10"/>
            <rFont val="MS Sans Serif"/>
            <family val="2"/>
          </rPr>
          <t xml:space="preserve">
</t>
        </r>
        <r>
          <rPr>
            <sz val="10"/>
            <color indexed="12"/>
            <rFont val="MS Sans Serif"/>
            <family val="2"/>
          </rPr>
          <t>ขนาดเสันผ่าศูนย์กลางของเหล็กล่างทางสั้นที่เลื่อกใช้</t>
        </r>
      </text>
    </comment>
    <comment ref="K39" authorId="0">
      <text>
        <r>
          <rPr>
            <b/>
            <sz val="10"/>
            <color indexed="17"/>
            <rFont val="MS Sans Serif"/>
            <family val="2"/>
          </rPr>
          <t>J.Natavit:</t>
        </r>
        <r>
          <rPr>
            <sz val="10"/>
            <rFont val="MS Sans Serif"/>
            <family val="2"/>
          </rPr>
          <t xml:space="preserve">
</t>
        </r>
        <r>
          <rPr>
            <sz val="10"/>
            <color indexed="12"/>
            <rFont val="MS Sans Serif"/>
            <family val="2"/>
          </rPr>
          <t>ขนาดเสันผ่าศูนย์กลางของเหล็กล่างทางสั้นที่เลื่อกใช้</t>
        </r>
      </text>
    </comment>
    <comment ref="K45" authorId="0">
      <text>
        <r>
          <rPr>
            <b/>
            <sz val="10"/>
            <color indexed="17"/>
            <rFont val="MS Sans Serif"/>
            <family val="2"/>
          </rPr>
          <t>J.Natavit:</t>
        </r>
        <r>
          <rPr>
            <sz val="10"/>
            <rFont val="MS Sans Serif"/>
            <family val="2"/>
          </rPr>
          <t xml:space="preserve">
</t>
        </r>
        <r>
          <rPr>
            <sz val="10"/>
            <color indexed="12"/>
            <rFont val="MS Sans Serif"/>
            <family val="2"/>
          </rPr>
          <t>ขนาดเสันผ่าศูนย์กลางของเหล็กล่างทางสั้นที่เลื่อกใช้</t>
        </r>
      </text>
    </comment>
    <comment ref="K1" authorId="1">
      <text>
        <r>
          <rPr>
            <b/>
            <sz val="10"/>
            <rFont val="Tahoma"/>
            <family val="2"/>
          </rPr>
          <t>Natavit:</t>
        </r>
        <r>
          <rPr>
            <sz val="10"/>
            <rFont val="Tahoma"/>
            <family val="2"/>
          </rPr>
          <t xml:space="preserve">
กดปุ่มลูกศร เพื่อเลื่อนไปป้อนข้อมูลในช่องถัดๆไป</t>
        </r>
      </text>
    </comment>
  </commentList>
</comments>
</file>

<file path=xl/sharedStrings.xml><?xml version="1.0" encoding="utf-8"?>
<sst xmlns="http://schemas.openxmlformats.org/spreadsheetml/2006/main" count="294" uniqueCount="125">
  <si>
    <t>&gt;&gt;&gt;&gt;&gt; DESIGN OF TWO-WAY EDGE-SUPPORTED SLABS  (Method 3)</t>
  </si>
  <si>
    <t>Bar</t>
  </si>
  <si>
    <t>Area</t>
  </si>
  <si>
    <t>TA#1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</si>
  <si>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</si>
  <si>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</si>
  <si>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</si>
  <si>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</si>
  <si>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</si>
  <si>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</si>
  <si>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</si>
  <si>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</si>
  <si>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</si>
  <si>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TB#1</t>
  </si>
  <si>
    <t>TA#2</t>
  </si>
  <si>
    <t>TB#2</t>
  </si>
  <si>
    <t>TA#3</t>
  </si>
  <si>
    <t>TB#3</t>
  </si>
  <si>
    <t>TA#4</t>
  </si>
  <si>
    <t>TB#4</t>
  </si>
  <si>
    <t>bar1</t>
  </si>
  <si>
    <t>bar2</t>
  </si>
  <si>
    <t>bar3</t>
  </si>
  <si>
    <t>DESIGN CRITERIA</t>
  </si>
  <si>
    <t>ksc.</t>
  </si>
  <si>
    <t>Date :</t>
  </si>
  <si>
    <t>dia1</t>
  </si>
  <si>
    <t>dia2</t>
  </si>
  <si>
    <t>dia3</t>
  </si>
  <si>
    <t>k</t>
  </si>
  <si>
    <t>RB</t>
  </si>
  <si>
    <t>-----&gt;</t>
  </si>
  <si>
    <t>DB</t>
  </si>
  <si>
    <t>fy1</t>
  </si>
  <si>
    <t>fy2</t>
  </si>
  <si>
    <t>fy3</t>
  </si>
  <si>
    <t>SR24</t>
  </si>
  <si>
    <t>----&gt;</t>
  </si>
  <si>
    <t>pmax1</t>
  </si>
  <si>
    <t>pmax2</t>
  </si>
  <si>
    <t>pmax3</t>
  </si>
  <si>
    <t xml:space="preserve"> SD30,</t>
  </si>
  <si>
    <t>SD40</t>
  </si>
  <si>
    <t>Load factor</t>
  </si>
  <si>
    <t>SD50</t>
  </si>
  <si>
    <t>pmin1</t>
  </si>
  <si>
    <t>pmin2</t>
  </si>
  <si>
    <t>pmin3</t>
  </si>
  <si>
    <t>m.</t>
  </si>
  <si>
    <t>=</t>
  </si>
  <si>
    <t>m = A/B</t>
  </si>
  <si>
    <t>Mu</t>
  </si>
  <si>
    <t>ID.</t>
  </si>
  <si>
    <t>case</t>
  </si>
  <si>
    <t>A</t>
  </si>
  <si>
    <t>B</t>
  </si>
  <si>
    <t>t</t>
  </si>
  <si>
    <t>DL</t>
  </si>
  <si>
    <t>LL</t>
  </si>
  <si>
    <t>M-</t>
  </si>
  <si>
    <t>(m)</t>
  </si>
  <si>
    <t>&lt;----</t>
  </si>
  <si>
    <t xml:space="preserve"> deff.</t>
  </si>
  <si>
    <t xml:space="preserve"> ----&gt;</t>
  </si>
  <si>
    <t>DL&amp;LL</t>
  </si>
  <si>
    <t>(kg-m/m)</t>
  </si>
  <si>
    <t>RB6</t>
  </si>
  <si>
    <t>RB9</t>
  </si>
  <si>
    <t>DB12</t>
  </si>
  <si>
    <t>da_1</t>
  </si>
  <si>
    <t>da_2</t>
  </si>
  <si>
    <t>da_3</t>
  </si>
  <si>
    <t>db_1</t>
  </si>
  <si>
    <t>db_2</t>
  </si>
  <si>
    <t>db_3</t>
  </si>
  <si>
    <t>S1</t>
  </si>
  <si>
    <t>Designer :</t>
  </si>
  <si>
    <t>Filename :</t>
  </si>
  <si>
    <t>Developer :</t>
  </si>
  <si>
    <t>-</t>
  </si>
  <si>
    <t>M+</t>
  </si>
  <si>
    <t>Live</t>
  </si>
  <si>
    <t>load</t>
  </si>
  <si>
    <t>thick.</t>
  </si>
  <si>
    <t>Slab</t>
  </si>
  <si>
    <t>Total</t>
  </si>
  <si>
    <t>Moment coefficients</t>
  </si>
  <si>
    <t>Spacing for bars (m)</t>
  </si>
  <si>
    <r>
      <t>(kg/m</t>
    </r>
    <r>
      <rPr>
        <vertAlign val="superscript"/>
        <sz val="16"/>
        <rFont val="Angsana New"/>
        <family val="1"/>
      </rPr>
      <t>2</t>
    </r>
    <r>
      <rPr>
        <sz val="16"/>
        <rFont val="Angsana New"/>
        <family val="1"/>
      </rPr>
      <t>)</t>
    </r>
  </si>
  <si>
    <r>
      <t>covering  d</t>
    </r>
    <r>
      <rPr>
        <vertAlign val="subscript"/>
        <sz val="20"/>
        <rFont val="Angsana New"/>
        <family val="1"/>
      </rPr>
      <t>c</t>
    </r>
    <r>
      <rPr>
        <sz val="16"/>
        <rFont val="Angsana New"/>
        <family val="1"/>
      </rPr>
      <t xml:space="preserve"> =</t>
    </r>
  </si>
  <si>
    <r>
      <t>p</t>
    </r>
    <r>
      <rPr>
        <vertAlign val="subscript"/>
        <sz val="20"/>
        <rFont val="Angsana New"/>
        <family val="1"/>
      </rPr>
      <t>min</t>
    </r>
    <r>
      <rPr>
        <sz val="16"/>
        <rFont val="Angsana New"/>
        <family val="1"/>
      </rPr>
      <t xml:space="preserve"> =</t>
    </r>
  </si>
  <si>
    <r>
      <t>p</t>
    </r>
    <r>
      <rPr>
        <vertAlign val="subscript"/>
        <sz val="20"/>
        <rFont val="Angsana New"/>
        <family val="1"/>
      </rPr>
      <t>max</t>
    </r>
    <r>
      <rPr>
        <sz val="16"/>
        <rFont val="Angsana New"/>
        <family val="1"/>
      </rPr>
      <t xml:space="preserve"> =</t>
    </r>
  </si>
  <si>
    <r>
      <t>f'</t>
    </r>
    <r>
      <rPr>
        <vertAlign val="subscript"/>
        <sz val="20"/>
        <rFont val="Angsana New"/>
        <family val="1"/>
      </rPr>
      <t>c</t>
    </r>
    <r>
      <rPr>
        <sz val="16"/>
        <rFont val="Angsana New"/>
        <family val="1"/>
      </rPr>
      <t xml:space="preserve"> =</t>
    </r>
  </si>
  <si>
    <r>
      <t>f</t>
    </r>
    <r>
      <rPr>
        <vertAlign val="subscript"/>
        <sz val="20"/>
        <rFont val="Angsana New"/>
        <family val="1"/>
      </rPr>
      <t>y</t>
    </r>
    <r>
      <rPr>
        <sz val="16"/>
        <rFont val="Angsana New"/>
        <family val="1"/>
      </rPr>
      <t xml:space="preserve"> =</t>
    </r>
  </si>
  <si>
    <t>-Dead load  =</t>
  </si>
  <si>
    <t>-Live load   =</t>
  </si>
  <si>
    <t>Section</t>
  </si>
  <si>
    <t>Project :</t>
  </si>
  <si>
    <t>S2</t>
  </si>
  <si>
    <t>S3</t>
  </si>
  <si>
    <t>S4</t>
  </si>
  <si>
    <t>S5</t>
  </si>
  <si>
    <t>S6</t>
  </si>
  <si>
    <t>Edge1</t>
  </si>
  <si>
    <t>Edge3</t>
  </si>
  <si>
    <t>Edge4</t>
  </si>
  <si>
    <t>Edge6</t>
  </si>
  <si>
    <t xml:space="preserve">Mid2 </t>
  </si>
  <si>
    <t xml:space="preserve">Mid5 </t>
  </si>
  <si>
    <r>
      <t xml:space="preserve"> 0.75 </t>
    </r>
    <r>
      <rPr>
        <sz val="12"/>
        <rFont val="Cordia New"/>
        <family val="2"/>
      </rPr>
      <t>x</t>
    </r>
    <r>
      <rPr>
        <sz val="16"/>
        <rFont val="Angsana New"/>
        <family val="1"/>
      </rPr>
      <t xml:space="preserve"> p</t>
    </r>
    <r>
      <rPr>
        <vertAlign val="subscript"/>
        <sz val="20"/>
        <rFont val="Angsana New"/>
        <family val="1"/>
      </rPr>
      <t>b</t>
    </r>
  </si>
  <si>
    <t>Status</t>
  </si>
  <si>
    <t xml:space="preserve">  4</t>
  </si>
  <si>
    <t xml:space="preserve">6   </t>
  </si>
  <si>
    <t>Short span (A)</t>
  </si>
  <si>
    <t>Long span (B)</t>
  </si>
  <si>
    <t xml:space="preserve"> Clear spans (m)</t>
  </si>
  <si>
    <t>Short</t>
  </si>
  <si>
    <t>Long</t>
  </si>
  <si>
    <r>
      <t>Factored load (kg/m</t>
    </r>
    <r>
      <rPr>
        <vertAlign val="superscript"/>
        <sz val="15.85"/>
        <rFont val="Angsana New"/>
        <family val="1"/>
      </rPr>
      <t>2</t>
    </r>
    <r>
      <rPr>
        <sz val="16"/>
        <rFont val="Angsana New"/>
        <family val="1"/>
      </rPr>
      <t>)</t>
    </r>
  </si>
  <si>
    <t>Dead L.</t>
  </si>
  <si>
    <t>Live L.</t>
  </si>
  <si>
    <t>Seminar</t>
  </si>
  <si>
    <t>T-2WSLAB</t>
  </si>
  <si>
    <t>Natthawit J., Eng.MSU</t>
  </si>
  <si>
    <t>Natavit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</si>
</sst>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_)"/>
    <numFmt numFmtId="200" formatCode="0_)"/>
    <numFmt numFmtId="201" formatCode="dd\-mmm\-yy_)"/>
    <numFmt numFmtId="202" formatCode="0.0000_)"/>
    <numFmt numFmtId="203" formatCode="0.000_)"/>
    <numFmt numFmtId="204" formatCode="0.0_)"/>
    <numFmt numFmtId="205" formatCode="mm/dd/yy"/>
    <numFmt numFmtId="206" formatCode="[$-1070000]d/mm/yyyy;@"/>
  </numFmts>
  <fonts count="58">
    <font>
      <sz val="16"/>
      <name val="Angsana New"/>
      <family val="1"/>
    </font>
    <font>
      <sz val="14"/>
      <name val="Cordia New"/>
      <family val="0"/>
    </font>
    <font>
      <sz val="16"/>
      <color indexed="12"/>
      <name val="Angsana New"/>
      <family val="1"/>
    </font>
    <font>
      <vertAlign val="superscript"/>
      <sz val="16"/>
      <name val="Angsana New"/>
      <family val="1"/>
    </font>
    <font>
      <sz val="12"/>
      <name val="Cordia New"/>
      <family val="2"/>
    </font>
    <font>
      <u val="double"/>
      <sz val="16"/>
      <name val="Angsana New"/>
      <family val="1"/>
    </font>
    <font>
      <vertAlign val="subscript"/>
      <sz val="20"/>
      <name val="Angsana New"/>
      <family val="1"/>
    </font>
    <font>
      <sz val="24"/>
      <name val="Angsana New"/>
      <family val="1"/>
    </font>
    <font>
      <sz val="24"/>
      <color indexed="14"/>
      <name val="Angsana New"/>
      <family val="1"/>
    </font>
    <font>
      <sz val="16"/>
      <color indexed="14"/>
      <name val="Angsana New"/>
      <family val="1"/>
    </font>
    <font>
      <sz val="24"/>
      <color indexed="53"/>
      <name val="Angsana New"/>
      <family val="1"/>
    </font>
    <font>
      <sz val="16"/>
      <color indexed="53"/>
      <name val="Angsana New"/>
      <family val="1"/>
    </font>
    <font>
      <sz val="15"/>
      <name val="Angsana New"/>
      <family val="1"/>
    </font>
    <font>
      <vertAlign val="superscript"/>
      <sz val="15.85"/>
      <name val="Angsana New"/>
      <family val="1"/>
    </font>
    <font>
      <b/>
      <u val="double"/>
      <sz val="16"/>
      <name val="Angsana New"/>
      <family val="1"/>
    </font>
    <font>
      <b/>
      <sz val="18"/>
      <name val="Angsana New"/>
      <family val="1"/>
    </font>
    <font>
      <sz val="10"/>
      <name val="MS Sans Serif"/>
      <family val="2"/>
    </font>
    <font>
      <sz val="10"/>
      <color indexed="12"/>
      <name val="MS Sans Serif"/>
      <family val="2"/>
    </font>
    <font>
      <b/>
      <sz val="10"/>
      <color indexed="17"/>
      <name val="MS Sans Serif"/>
      <family val="2"/>
    </font>
    <font>
      <sz val="16"/>
      <color indexed="9"/>
      <name val="Angsana New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36"/>
      <color indexed="1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ngsan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darkUp">
        <bgColor indexed="9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7"/>
      </right>
      <top style="medium">
        <color indexed="14"/>
      </top>
      <bottom style="medium">
        <color indexed="14"/>
      </bottom>
    </border>
    <border>
      <left style="thin">
        <color indexed="53"/>
      </left>
      <right style="thin">
        <color indexed="53"/>
      </right>
      <top style="medium">
        <color indexed="17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14"/>
      </top>
      <bottom style="medium">
        <color indexed="14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dotted"/>
    </border>
  </borders>
  <cellStyleXfs count="61">
    <xf numFmtId="19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3">
    <xf numFmtId="199" fontId="0" fillId="0" borderId="0" xfId="0" applyAlignment="1">
      <alignment/>
    </xf>
    <xf numFmtId="200" fontId="2" fillId="0" borderId="0" xfId="0" applyNumberFormat="1" applyFont="1" applyFill="1" applyAlignment="1" applyProtection="1">
      <alignment horizontal="center"/>
      <protection locked="0"/>
    </xf>
    <xf numFmtId="200" fontId="2" fillId="0" borderId="0" xfId="0" applyNumberFormat="1" applyFont="1" applyFill="1" applyAlignment="1" applyProtection="1">
      <alignment horizontal="left"/>
      <protection locked="0"/>
    </xf>
    <xf numFmtId="199" fontId="2" fillId="0" borderId="0" xfId="0" applyFont="1" applyFill="1" applyAlignment="1" applyProtection="1">
      <alignment horizontal="left"/>
      <protection locked="0"/>
    </xf>
    <xf numFmtId="203" fontId="2" fillId="0" borderId="0" xfId="0" applyNumberFormat="1" applyFont="1" applyFill="1" applyAlignment="1" applyProtection="1">
      <alignment horizontal="center"/>
      <protection locked="0"/>
    </xf>
    <xf numFmtId="199" fontId="0" fillId="0" borderId="0" xfId="0" applyFont="1" applyFill="1" applyBorder="1" applyAlignment="1" applyProtection="1">
      <alignment horizontal="center"/>
      <protection hidden="1"/>
    </xf>
    <xf numFmtId="203" fontId="0" fillId="0" borderId="0" xfId="0" applyNumberFormat="1" applyFont="1" applyFill="1" applyBorder="1" applyAlignment="1" applyProtection="1">
      <alignment horizontal="center"/>
      <protection hidden="1"/>
    </xf>
    <xf numFmtId="204" fontId="0" fillId="0" borderId="10" xfId="0" applyNumberFormat="1" applyFont="1" applyFill="1" applyBorder="1" applyAlignment="1" applyProtection="1">
      <alignment/>
      <protection hidden="1"/>
    </xf>
    <xf numFmtId="199" fontId="0" fillId="0" borderId="11" xfId="0" applyFont="1" applyFill="1" applyBorder="1" applyAlignment="1" applyProtection="1">
      <alignment horizontal="center"/>
      <protection hidden="1"/>
    </xf>
    <xf numFmtId="203" fontId="0" fillId="0" borderId="11" xfId="0" applyNumberFormat="1" applyFont="1" applyFill="1" applyBorder="1" applyAlignment="1" applyProtection="1">
      <alignment horizontal="center"/>
      <protection hidden="1"/>
    </xf>
    <xf numFmtId="204" fontId="0" fillId="0" borderId="12" xfId="0" applyNumberFormat="1" applyFont="1" applyFill="1" applyBorder="1" applyAlignment="1" applyProtection="1">
      <alignment/>
      <protection hidden="1"/>
    </xf>
    <xf numFmtId="199" fontId="7" fillId="33" borderId="0" xfId="0" applyFont="1" applyFill="1" applyAlignment="1" applyProtection="1">
      <alignment/>
      <protection hidden="1"/>
    </xf>
    <xf numFmtId="200" fontId="7" fillId="33" borderId="0" xfId="0" applyNumberFormat="1" applyFont="1" applyFill="1" applyAlignment="1" applyProtection="1">
      <alignment horizontal="center" vertical="center"/>
      <protection hidden="1"/>
    </xf>
    <xf numFmtId="199" fontId="0" fillId="33" borderId="0" xfId="0" applyFill="1" applyAlignment="1" applyProtection="1">
      <alignment/>
      <protection hidden="1"/>
    </xf>
    <xf numFmtId="199" fontId="0" fillId="34" borderId="0" xfId="0" applyFill="1" applyAlignment="1" applyProtection="1">
      <alignment/>
      <protection hidden="1"/>
    </xf>
    <xf numFmtId="199" fontId="0" fillId="33" borderId="13" xfId="0" applyFill="1" applyBorder="1" applyAlignment="1" applyProtection="1">
      <alignment/>
      <protection hidden="1"/>
    </xf>
    <xf numFmtId="199" fontId="0" fillId="33" borderId="0" xfId="0" applyFill="1" applyBorder="1" applyAlignment="1" applyProtection="1">
      <alignment/>
      <protection hidden="1"/>
    </xf>
    <xf numFmtId="200" fontId="2" fillId="0" borderId="14" xfId="0" applyNumberFormat="1" applyFont="1" applyFill="1" applyBorder="1" applyAlignment="1" applyProtection="1">
      <alignment/>
      <protection locked="0"/>
    </xf>
    <xf numFmtId="199" fontId="0" fillId="0" borderId="15" xfId="0" applyFont="1" applyFill="1" applyBorder="1" applyAlignment="1" applyProtection="1">
      <alignment horizontal="center"/>
      <protection hidden="1"/>
    </xf>
    <xf numFmtId="203" fontId="0" fillId="0" borderId="15" xfId="0" applyNumberFormat="1" applyFont="1" applyFill="1" applyBorder="1" applyAlignment="1" applyProtection="1">
      <alignment horizontal="center"/>
      <protection hidden="1"/>
    </xf>
    <xf numFmtId="204" fontId="0" fillId="0" borderId="16" xfId="0" applyNumberFormat="1" applyFont="1" applyFill="1" applyBorder="1" applyAlignment="1" applyProtection="1">
      <alignment/>
      <protection hidden="1"/>
    </xf>
    <xf numFmtId="199" fontId="2" fillId="0" borderId="17" xfId="0" applyFont="1" applyFill="1" applyBorder="1" applyAlignment="1" applyProtection="1">
      <alignment horizontal="center"/>
      <protection locked="0"/>
    </xf>
    <xf numFmtId="204" fontId="0" fillId="0" borderId="18" xfId="0" applyNumberFormat="1" applyFont="1" applyFill="1" applyBorder="1" applyAlignment="1" applyProtection="1">
      <alignment/>
      <protection hidden="1"/>
    </xf>
    <xf numFmtId="200" fontId="2" fillId="0" borderId="18" xfId="0" applyNumberFormat="1" applyFont="1" applyFill="1" applyBorder="1" applyAlignment="1" applyProtection="1">
      <alignment/>
      <protection locked="0"/>
    </xf>
    <xf numFmtId="199" fontId="2" fillId="0" borderId="19" xfId="0" applyFont="1" applyFill="1" applyBorder="1" applyAlignment="1" applyProtection="1">
      <alignment/>
      <protection locked="0"/>
    </xf>
    <xf numFmtId="199" fontId="2" fillId="0" borderId="20" xfId="0" applyFont="1" applyFill="1" applyBorder="1" applyAlignment="1" applyProtection="1">
      <alignment/>
      <protection locked="0"/>
    </xf>
    <xf numFmtId="203" fontId="2" fillId="0" borderId="18" xfId="0" applyNumberFormat="1" applyFont="1" applyFill="1" applyBorder="1" applyAlignment="1" applyProtection="1">
      <alignment/>
      <protection locked="0"/>
    </xf>
    <xf numFmtId="199" fontId="2" fillId="0" borderId="0" xfId="0" applyFont="1" applyFill="1" applyAlignment="1" applyProtection="1" quotePrefix="1">
      <alignment horizontal="left"/>
      <protection locked="0"/>
    </xf>
    <xf numFmtId="199" fontId="0" fillId="33" borderId="0" xfId="0" applyFill="1" applyAlignment="1" applyProtection="1">
      <alignment/>
      <protection hidden="1"/>
    </xf>
    <xf numFmtId="199" fontId="0" fillId="0" borderId="0" xfId="0" applyFill="1" applyAlignment="1" applyProtection="1">
      <alignment/>
      <protection hidden="1"/>
    </xf>
    <xf numFmtId="199" fontId="0" fillId="33" borderId="21" xfId="0" applyFill="1" applyBorder="1" applyAlignment="1" applyProtection="1">
      <alignment/>
      <protection hidden="1"/>
    </xf>
    <xf numFmtId="199" fontId="0" fillId="33" borderId="22" xfId="0" applyFill="1" applyBorder="1" applyAlignment="1" applyProtection="1">
      <alignment/>
      <protection hidden="1"/>
    </xf>
    <xf numFmtId="199" fontId="0" fillId="33" borderId="23" xfId="0" applyFill="1" applyBorder="1" applyAlignment="1" applyProtection="1">
      <alignment/>
      <protection hidden="1"/>
    </xf>
    <xf numFmtId="199" fontId="0" fillId="33" borderId="24" xfId="0" applyFill="1" applyBorder="1" applyAlignment="1" applyProtection="1">
      <alignment/>
      <protection hidden="1"/>
    </xf>
    <xf numFmtId="199" fontId="0" fillId="33" borderId="25" xfId="0" applyFill="1" applyBorder="1" applyAlignment="1" applyProtection="1">
      <alignment/>
      <protection hidden="1"/>
    </xf>
    <xf numFmtId="199" fontId="0" fillId="33" borderId="26" xfId="0" applyFill="1" applyBorder="1" applyAlignment="1" applyProtection="1">
      <alignment/>
      <protection hidden="1"/>
    </xf>
    <xf numFmtId="199" fontId="0" fillId="33" borderId="27" xfId="0" applyFill="1" applyBorder="1" applyAlignment="1" applyProtection="1">
      <alignment/>
      <protection hidden="1"/>
    </xf>
    <xf numFmtId="199" fontId="0" fillId="33" borderId="28" xfId="0" applyFill="1" applyBorder="1" applyAlignment="1" applyProtection="1">
      <alignment/>
      <protection hidden="1"/>
    </xf>
    <xf numFmtId="200" fontId="8" fillId="33" borderId="29" xfId="0" applyNumberFormat="1" applyFont="1" applyFill="1" applyBorder="1" applyAlignment="1" applyProtection="1" quotePrefix="1">
      <alignment horizontal="left"/>
      <protection hidden="1"/>
    </xf>
    <xf numFmtId="199" fontId="9" fillId="33" borderId="30" xfId="0" applyFont="1" applyFill="1" applyBorder="1" applyAlignment="1" applyProtection="1">
      <alignment/>
      <protection hidden="1"/>
    </xf>
    <xf numFmtId="200" fontId="8" fillId="33" borderId="30" xfId="0" applyNumberFormat="1" applyFont="1" applyFill="1" applyBorder="1" applyAlignment="1" applyProtection="1">
      <alignment horizontal="right"/>
      <protection hidden="1"/>
    </xf>
    <xf numFmtId="200" fontId="8" fillId="33" borderId="31" xfId="0" applyNumberFormat="1" applyFont="1" applyFill="1" applyBorder="1" applyAlignment="1" applyProtection="1" quotePrefix="1">
      <alignment horizontal="right"/>
      <protection hidden="1"/>
    </xf>
    <xf numFmtId="200" fontId="10" fillId="33" borderId="32" xfId="0" applyNumberFormat="1" applyFont="1" applyFill="1" applyBorder="1" applyAlignment="1" applyProtection="1">
      <alignment horizontal="center" vertical="top"/>
      <protection hidden="1"/>
    </xf>
    <xf numFmtId="199" fontId="11" fillId="33" borderId="33" xfId="0" applyFont="1" applyFill="1" applyBorder="1" applyAlignment="1" applyProtection="1">
      <alignment/>
      <protection hidden="1"/>
    </xf>
    <xf numFmtId="200" fontId="10" fillId="33" borderId="33" xfId="0" applyNumberFormat="1" applyFont="1" applyFill="1" applyBorder="1" applyAlignment="1" applyProtection="1">
      <alignment horizontal="center"/>
      <protection hidden="1"/>
    </xf>
    <xf numFmtId="199" fontId="11" fillId="33" borderId="34" xfId="0" applyFont="1" applyFill="1" applyBorder="1" applyAlignment="1" applyProtection="1">
      <alignment/>
      <protection hidden="1"/>
    </xf>
    <xf numFmtId="200" fontId="10" fillId="33" borderId="35" xfId="0" applyNumberFormat="1" applyFont="1" applyFill="1" applyBorder="1" applyAlignment="1" applyProtection="1">
      <alignment horizontal="center"/>
      <protection hidden="1"/>
    </xf>
    <xf numFmtId="199" fontId="0" fillId="33" borderId="36" xfId="0" applyFill="1" applyBorder="1" applyAlignment="1" applyProtection="1">
      <alignment/>
      <protection hidden="1"/>
    </xf>
    <xf numFmtId="199" fontId="0" fillId="33" borderId="37" xfId="0" applyFill="1" applyBorder="1" applyAlignment="1" applyProtection="1">
      <alignment/>
      <protection hidden="1"/>
    </xf>
    <xf numFmtId="199" fontId="0" fillId="33" borderId="38" xfId="0" applyFill="1" applyBorder="1" applyAlignment="1" applyProtection="1">
      <alignment/>
      <protection hidden="1"/>
    </xf>
    <xf numFmtId="199" fontId="0" fillId="33" borderId="39" xfId="0" applyFill="1" applyBorder="1" applyAlignment="1" applyProtection="1">
      <alignment/>
      <protection hidden="1"/>
    </xf>
    <xf numFmtId="203" fontId="0" fillId="0" borderId="40" xfId="0" applyNumberFormat="1" applyFont="1" applyFill="1" applyBorder="1" applyAlignment="1" applyProtection="1">
      <alignment/>
      <protection hidden="1"/>
    </xf>
    <xf numFmtId="199" fontId="2" fillId="0" borderId="41" xfId="0" applyFont="1" applyFill="1" applyBorder="1" applyAlignment="1" applyProtection="1">
      <alignment horizontal="center"/>
      <protection locked="0"/>
    </xf>
    <xf numFmtId="200" fontId="2" fillId="0" borderId="15" xfId="0" applyNumberFormat="1" applyFont="1" applyFill="1" applyBorder="1" applyAlignment="1" applyProtection="1">
      <alignment/>
      <protection locked="0"/>
    </xf>
    <xf numFmtId="199" fontId="2" fillId="0" borderId="40" xfId="0" applyFont="1" applyFill="1" applyBorder="1" applyAlignment="1" applyProtection="1">
      <alignment/>
      <protection locked="0"/>
    </xf>
    <xf numFmtId="199" fontId="2" fillId="0" borderId="42" xfId="0" applyFont="1" applyFill="1" applyBorder="1" applyAlignment="1" applyProtection="1">
      <alignment/>
      <protection locked="0"/>
    </xf>
    <xf numFmtId="203" fontId="2" fillId="0" borderId="15" xfId="0" applyNumberFormat="1" applyFont="1" applyFill="1" applyBorder="1" applyAlignment="1" applyProtection="1">
      <alignment/>
      <protection locked="0"/>
    </xf>
    <xf numFmtId="200" fontId="2" fillId="0" borderId="43" xfId="0" applyNumberFormat="1" applyFont="1" applyFill="1" applyBorder="1" applyAlignment="1" applyProtection="1">
      <alignment/>
      <protection locked="0"/>
    </xf>
    <xf numFmtId="203" fontId="0" fillId="0" borderId="43" xfId="0" applyNumberFormat="1" applyFont="1" applyFill="1" applyBorder="1" applyAlignment="1" applyProtection="1">
      <alignment horizontal="center"/>
      <protection hidden="1"/>
    </xf>
    <xf numFmtId="204" fontId="0" fillId="0" borderId="15" xfId="0" applyNumberFormat="1" applyFont="1" applyFill="1" applyBorder="1" applyAlignment="1" applyProtection="1">
      <alignment/>
      <protection hidden="1"/>
    </xf>
    <xf numFmtId="199" fontId="2" fillId="0" borderId="44" xfId="0" applyFont="1" applyFill="1" applyBorder="1" applyAlignment="1" applyProtection="1">
      <alignment horizontal="center"/>
      <protection locked="0"/>
    </xf>
    <xf numFmtId="199" fontId="2" fillId="0" borderId="11" xfId="0" applyFont="1" applyFill="1" applyBorder="1" applyAlignment="1" applyProtection="1">
      <alignment horizontal="center"/>
      <protection locked="0"/>
    </xf>
    <xf numFmtId="199" fontId="2" fillId="0" borderId="45" xfId="0" applyFont="1" applyFill="1" applyBorder="1" applyAlignment="1" applyProtection="1">
      <alignment horizontal="center"/>
      <protection locked="0"/>
    </xf>
    <xf numFmtId="203" fontId="0" fillId="0" borderId="46" xfId="0" applyNumberFormat="1" applyFont="1" applyFill="1" applyBorder="1" applyAlignment="1" applyProtection="1">
      <alignment/>
      <protection hidden="1"/>
    </xf>
    <xf numFmtId="203" fontId="0" fillId="0" borderId="0" xfId="0" applyNumberFormat="1" applyFont="1" applyFill="1" applyBorder="1" applyAlignment="1" applyProtection="1">
      <alignment/>
      <protection hidden="1"/>
    </xf>
    <xf numFmtId="203" fontId="0" fillId="0" borderId="47" xfId="0" applyNumberFormat="1" applyFont="1" applyFill="1" applyBorder="1" applyAlignment="1" applyProtection="1">
      <alignment/>
      <protection hidden="1"/>
    </xf>
    <xf numFmtId="203" fontId="0" fillId="0" borderId="41" xfId="0" applyNumberFormat="1" applyFont="1" applyFill="1" applyBorder="1" applyAlignment="1" applyProtection="1">
      <alignment/>
      <protection hidden="1"/>
    </xf>
    <xf numFmtId="203" fontId="0" fillId="0" borderId="15" xfId="0" applyNumberFormat="1" applyFont="1" applyFill="1" applyBorder="1" applyAlignment="1" applyProtection="1">
      <alignment/>
      <protection hidden="1"/>
    </xf>
    <xf numFmtId="203" fontId="0" fillId="0" borderId="48" xfId="0" applyNumberFormat="1" applyFont="1" applyFill="1" applyBorder="1" applyAlignment="1" applyProtection="1">
      <alignment/>
      <protection hidden="1"/>
    </xf>
    <xf numFmtId="203" fontId="0" fillId="0" borderId="44" xfId="0" applyNumberFormat="1" applyFont="1" applyFill="1" applyBorder="1" applyAlignment="1" applyProtection="1">
      <alignment/>
      <protection hidden="1"/>
    </xf>
    <xf numFmtId="203" fontId="0" fillId="0" borderId="11" xfId="0" applyNumberFormat="1" applyFont="1" applyFill="1" applyBorder="1" applyAlignment="1" applyProtection="1">
      <alignment/>
      <protection hidden="1"/>
    </xf>
    <xf numFmtId="203" fontId="0" fillId="0" borderId="45" xfId="0" applyNumberFormat="1" applyFont="1" applyFill="1" applyBorder="1" applyAlignment="1" applyProtection="1">
      <alignment/>
      <protection hidden="1"/>
    </xf>
    <xf numFmtId="203" fontId="0" fillId="0" borderId="49" xfId="0" applyNumberFormat="1" applyFont="1" applyFill="1" applyBorder="1" applyAlignment="1" applyProtection="1">
      <alignment/>
      <protection hidden="1"/>
    </xf>
    <xf numFmtId="203" fontId="0" fillId="0" borderId="50" xfId="0" applyNumberFormat="1" applyFont="1" applyFill="1" applyBorder="1" applyAlignment="1" applyProtection="1">
      <alignment/>
      <protection hidden="1"/>
    </xf>
    <xf numFmtId="203" fontId="0" fillId="0" borderId="51" xfId="0" applyNumberFormat="1" applyFont="1" applyFill="1" applyBorder="1" applyAlignment="1" applyProtection="1">
      <alignment/>
      <protection hidden="1"/>
    </xf>
    <xf numFmtId="200" fontId="19" fillId="0" borderId="0" xfId="0" applyNumberFormat="1" applyFont="1" applyFill="1" applyBorder="1" applyAlignment="1" applyProtection="1">
      <alignment/>
      <protection locked="0"/>
    </xf>
    <xf numFmtId="199" fontId="15" fillId="0" borderId="0" xfId="0" applyFont="1" applyAlignment="1" applyProtection="1">
      <alignment/>
      <protection hidden="1"/>
    </xf>
    <xf numFmtId="199" fontId="0" fillId="0" borderId="0" xfId="0" applyFont="1" applyFill="1" applyAlignment="1" applyProtection="1">
      <alignment/>
      <protection hidden="1"/>
    </xf>
    <xf numFmtId="199" fontId="0" fillId="0" borderId="0" xfId="0" applyFont="1" applyFill="1" applyAlignment="1" applyProtection="1">
      <alignment horizontal="center"/>
      <protection hidden="1"/>
    </xf>
    <xf numFmtId="199" fontId="0" fillId="0" borderId="0" xfId="0" applyFont="1" applyFill="1" applyAlignment="1" applyProtection="1">
      <alignment horizontal="right"/>
      <protection hidden="1"/>
    </xf>
    <xf numFmtId="199" fontId="14" fillId="0" borderId="0" xfId="0" applyFont="1" applyFill="1" applyAlignment="1" applyProtection="1">
      <alignment horizontal="left"/>
      <protection hidden="1"/>
    </xf>
    <xf numFmtId="200" fontId="0" fillId="0" borderId="0" xfId="0" applyNumberFormat="1" applyFont="1" applyFill="1" applyAlignment="1" applyProtection="1">
      <alignment/>
      <protection hidden="1"/>
    </xf>
    <xf numFmtId="203" fontId="0" fillId="0" borderId="0" xfId="0" applyNumberFormat="1" applyFont="1" applyFill="1" applyAlignment="1" applyProtection="1">
      <alignment/>
      <protection hidden="1"/>
    </xf>
    <xf numFmtId="199" fontId="0" fillId="0" borderId="0" xfId="0" applyFont="1" applyFill="1" applyAlignment="1" applyProtection="1">
      <alignment horizontal="left"/>
      <protection hidden="1"/>
    </xf>
    <xf numFmtId="199" fontId="0" fillId="0" borderId="0" xfId="0" applyNumberFormat="1" applyFont="1" applyFill="1" applyAlignment="1" applyProtection="1">
      <alignment/>
      <protection hidden="1"/>
    </xf>
    <xf numFmtId="200" fontId="0" fillId="0" borderId="0" xfId="0" applyNumberFormat="1" applyFont="1" applyFill="1" applyAlignment="1" applyProtection="1" quotePrefix="1">
      <alignment horizontal="left"/>
      <protection hidden="1"/>
    </xf>
    <xf numFmtId="202" fontId="0" fillId="0" borderId="0" xfId="0" applyNumberFormat="1" applyFont="1" applyFill="1" applyAlignment="1" applyProtection="1">
      <alignment horizontal="center"/>
      <protection hidden="1"/>
    </xf>
    <xf numFmtId="199" fontId="5" fillId="0" borderId="0" xfId="0" applyFont="1" applyFill="1" applyAlignment="1" applyProtection="1">
      <alignment horizontal="left"/>
      <protection hidden="1"/>
    </xf>
    <xf numFmtId="199" fontId="0" fillId="0" borderId="0" xfId="0" applyFont="1" applyFill="1" applyAlignment="1" applyProtection="1" quotePrefix="1">
      <alignment horizontal="right"/>
      <protection hidden="1"/>
    </xf>
    <xf numFmtId="202" fontId="0" fillId="0" borderId="0" xfId="0" applyNumberFormat="1" applyFont="1" applyFill="1" applyAlignment="1" applyProtection="1">
      <alignment/>
      <protection hidden="1"/>
    </xf>
    <xf numFmtId="199" fontId="0" fillId="0" borderId="0" xfId="0" applyFont="1" applyFill="1" applyAlignment="1" applyProtection="1">
      <alignment/>
      <protection hidden="1"/>
    </xf>
    <xf numFmtId="199" fontId="0" fillId="0" borderId="51" xfId="0" applyFont="1" applyFill="1" applyBorder="1" applyAlignment="1" applyProtection="1">
      <alignment horizontal="center"/>
      <protection hidden="1"/>
    </xf>
    <xf numFmtId="199" fontId="0" fillId="0" borderId="50" xfId="0" applyFont="1" applyFill="1" applyBorder="1" applyAlignment="1" applyProtection="1">
      <alignment horizontal="center"/>
      <protection hidden="1"/>
    </xf>
    <xf numFmtId="199" fontId="0" fillId="0" borderId="52" xfId="0" applyFont="1" applyFill="1" applyBorder="1" applyAlignment="1" applyProtection="1">
      <alignment horizontal="center"/>
      <protection hidden="1"/>
    </xf>
    <xf numFmtId="199" fontId="0" fillId="0" borderId="49" xfId="0" applyFont="1" applyFill="1" applyBorder="1" applyAlignment="1" applyProtection="1">
      <alignment/>
      <protection hidden="1"/>
    </xf>
    <xf numFmtId="199" fontId="0" fillId="0" borderId="51" xfId="0" applyFont="1" applyFill="1" applyBorder="1" applyAlignment="1" applyProtection="1">
      <alignment/>
      <protection hidden="1"/>
    </xf>
    <xf numFmtId="199" fontId="0" fillId="0" borderId="49" xfId="0" applyFont="1" applyFill="1" applyBorder="1" applyAlignment="1" applyProtection="1">
      <alignment horizontal="center" vertical="center"/>
      <protection hidden="1"/>
    </xf>
    <xf numFmtId="199" fontId="0" fillId="0" borderId="51" xfId="0" applyFont="1" applyFill="1" applyBorder="1" applyAlignment="1" applyProtection="1">
      <alignment horizontal="center" vertical="center" textRotation="90"/>
      <protection hidden="1"/>
    </xf>
    <xf numFmtId="199" fontId="0" fillId="0" borderId="46" xfId="0" applyFont="1" applyFill="1" applyBorder="1" applyAlignment="1" applyProtection="1">
      <alignment horizontal="center"/>
      <protection hidden="1"/>
    </xf>
    <xf numFmtId="199" fontId="0" fillId="0" borderId="47" xfId="0" applyFont="1" applyFill="1" applyBorder="1" applyAlignment="1" applyProtection="1">
      <alignment horizontal="left"/>
      <protection hidden="1"/>
    </xf>
    <xf numFmtId="199" fontId="0" fillId="0" borderId="47" xfId="0" applyFont="1" applyFill="1" applyBorder="1" applyAlignment="1" applyProtection="1">
      <alignment horizontal="center"/>
      <protection hidden="1"/>
    </xf>
    <xf numFmtId="199" fontId="0" fillId="0" borderId="10" xfId="0" applyFont="1" applyFill="1" applyBorder="1" applyAlignment="1" applyProtection="1">
      <alignment horizontal="center"/>
      <protection hidden="1"/>
    </xf>
    <xf numFmtId="199" fontId="0" fillId="0" borderId="0" xfId="0" applyFont="1" applyFill="1" applyBorder="1" applyAlignment="1" applyProtection="1">
      <alignment/>
      <protection hidden="1"/>
    </xf>
    <xf numFmtId="199" fontId="0" fillId="0" borderId="47" xfId="0" applyFont="1" applyFill="1" applyBorder="1" applyAlignment="1" applyProtection="1">
      <alignment/>
      <protection hidden="1"/>
    </xf>
    <xf numFmtId="199" fontId="0" fillId="0" borderId="46" xfId="0" applyFont="1" applyFill="1" applyBorder="1" applyAlignment="1" applyProtection="1">
      <alignment/>
      <protection hidden="1"/>
    </xf>
    <xf numFmtId="199" fontId="0" fillId="0" borderId="0" xfId="0" applyFont="1" applyFill="1" applyBorder="1" applyAlignment="1" applyProtection="1" quotePrefix="1">
      <alignment/>
      <protection hidden="1"/>
    </xf>
    <xf numFmtId="199" fontId="0" fillId="0" borderId="44" xfId="0" applyFont="1" applyFill="1" applyBorder="1" applyAlignment="1" applyProtection="1">
      <alignment horizontal="center"/>
      <protection hidden="1"/>
    </xf>
    <xf numFmtId="199" fontId="0" fillId="0" borderId="45" xfId="0" applyFont="1" applyFill="1" applyBorder="1" applyAlignment="1" applyProtection="1">
      <alignment horizontal="left"/>
      <protection hidden="1"/>
    </xf>
    <xf numFmtId="199" fontId="0" fillId="0" borderId="45" xfId="0" applyFont="1" applyFill="1" applyBorder="1" applyAlignment="1" applyProtection="1">
      <alignment horizontal="center"/>
      <protection hidden="1"/>
    </xf>
    <xf numFmtId="199" fontId="0" fillId="0" borderId="12" xfId="0" applyFont="1" applyFill="1" applyBorder="1" applyAlignment="1" applyProtection="1">
      <alignment horizontal="center"/>
      <protection hidden="1"/>
    </xf>
    <xf numFmtId="199" fontId="0" fillId="0" borderId="12" xfId="0" applyFont="1" applyFill="1" applyBorder="1" applyAlignment="1" applyProtection="1" quotePrefix="1">
      <alignment horizontal="center"/>
      <protection hidden="1"/>
    </xf>
    <xf numFmtId="199" fontId="0" fillId="0" borderId="44" xfId="0" applyFont="1" applyFill="1" applyBorder="1" applyAlignment="1" applyProtection="1">
      <alignment/>
      <protection hidden="1"/>
    </xf>
    <xf numFmtId="199" fontId="0" fillId="0" borderId="44" xfId="0" applyFont="1" applyFill="1" applyBorder="1" applyAlignment="1" applyProtection="1" quotePrefix="1">
      <alignment horizontal="center"/>
      <protection hidden="1"/>
    </xf>
    <xf numFmtId="199" fontId="0" fillId="0" borderId="11" xfId="0" applyFont="1" applyFill="1" applyBorder="1" applyAlignment="1" applyProtection="1" quotePrefix="1">
      <alignment horizontal="center"/>
      <protection hidden="1"/>
    </xf>
    <xf numFmtId="199" fontId="0" fillId="0" borderId="45" xfId="0" applyFont="1" applyFill="1" applyBorder="1" applyAlignment="1" applyProtection="1" quotePrefix="1">
      <alignment horizontal="center"/>
      <protection hidden="1"/>
    </xf>
    <xf numFmtId="199" fontId="0" fillId="0" borderId="11" xfId="0" applyFont="1" applyFill="1" applyBorder="1" applyAlignment="1" applyProtection="1">
      <alignment/>
      <protection hidden="1"/>
    </xf>
    <xf numFmtId="199" fontId="0" fillId="0" borderId="44" xfId="0" applyFont="1" applyFill="1" applyBorder="1" applyAlignment="1" applyProtection="1">
      <alignment horizontal="center" vertical="center" textRotation="90"/>
      <protection hidden="1"/>
    </xf>
    <xf numFmtId="199" fontId="0" fillId="0" borderId="45" xfId="0" applyFont="1" applyFill="1" applyBorder="1" applyAlignment="1" applyProtection="1">
      <alignment horizontal="center" vertical="center" textRotation="90"/>
      <protection hidden="1"/>
    </xf>
    <xf numFmtId="199" fontId="0" fillId="0" borderId="53" xfId="0" applyFont="1" applyFill="1" applyBorder="1" applyAlignment="1" applyProtection="1">
      <alignment horizontal="center"/>
      <protection hidden="1"/>
    </xf>
    <xf numFmtId="199" fontId="2" fillId="0" borderId="46" xfId="0" applyFont="1" applyFill="1" applyBorder="1" applyAlignment="1" applyProtection="1">
      <alignment/>
      <protection hidden="1"/>
    </xf>
    <xf numFmtId="199" fontId="2" fillId="0" borderId="0" xfId="0" applyFont="1" applyFill="1" applyBorder="1" applyAlignment="1" applyProtection="1">
      <alignment/>
      <protection hidden="1"/>
    </xf>
    <xf numFmtId="199" fontId="2" fillId="0" borderId="46" xfId="0" applyFont="1" applyBorder="1" applyAlignment="1" applyProtection="1">
      <alignment/>
      <protection hidden="1"/>
    </xf>
    <xf numFmtId="199" fontId="2" fillId="0" borderId="0" xfId="0" applyFont="1" applyBorder="1" applyAlignment="1" applyProtection="1">
      <alignment/>
      <protection hidden="1"/>
    </xf>
    <xf numFmtId="199" fontId="2" fillId="0" borderId="0" xfId="0" applyFont="1" applyAlignment="1" applyProtection="1">
      <alignment/>
      <protection hidden="1"/>
    </xf>
    <xf numFmtId="199" fontId="0" fillId="0" borderId="54" xfId="0" applyFont="1" applyFill="1" applyBorder="1" applyAlignment="1" applyProtection="1">
      <alignment horizontal="center"/>
      <protection hidden="1"/>
    </xf>
    <xf numFmtId="199" fontId="2" fillId="0" borderId="44" xfId="0" applyFont="1" applyFill="1" applyBorder="1" applyAlignment="1" applyProtection="1">
      <alignment/>
      <protection hidden="1"/>
    </xf>
    <xf numFmtId="199" fontId="2" fillId="0" borderId="11" xfId="0" applyFont="1" applyFill="1" applyBorder="1" applyAlignment="1" applyProtection="1">
      <alignment/>
      <protection hidden="1"/>
    </xf>
    <xf numFmtId="199" fontId="0" fillId="0" borderId="55" xfId="0" applyFont="1" applyFill="1" applyBorder="1" applyAlignment="1" applyProtection="1">
      <alignment horizontal="center"/>
      <protection hidden="1"/>
    </xf>
    <xf numFmtId="199" fontId="2" fillId="0" borderId="0" xfId="0" applyFont="1" applyFill="1" applyAlignment="1" applyProtection="1">
      <alignment/>
      <protection hidden="1"/>
    </xf>
    <xf numFmtId="199" fontId="0" fillId="0" borderId="0" xfId="0" applyAlignment="1" applyProtection="1">
      <alignment/>
      <protection hidden="1"/>
    </xf>
    <xf numFmtId="206" fontId="0" fillId="0" borderId="0" xfId="0" applyNumberFormat="1" applyFont="1" applyFill="1" applyAlignment="1" applyProtection="1">
      <alignment horizontal="left"/>
      <protection hidden="1"/>
    </xf>
    <xf numFmtId="199" fontId="0" fillId="0" borderId="49" xfId="0" applyFont="1" applyFill="1" applyBorder="1" applyAlignment="1" applyProtection="1">
      <alignment horizontal="center"/>
      <protection hidden="1"/>
    </xf>
    <xf numFmtId="199" fontId="0" fillId="0" borderId="51" xfId="0" applyFont="1" applyFill="1" applyBorder="1" applyAlignment="1" applyProtection="1">
      <alignment horizontal="center"/>
      <protection hidden="1"/>
    </xf>
    <xf numFmtId="199" fontId="0" fillId="0" borderId="50" xfId="0" applyFont="1" applyFill="1" applyBorder="1" applyAlignment="1" applyProtection="1">
      <alignment horizontal="center"/>
      <protection hidden="1"/>
    </xf>
    <xf numFmtId="199" fontId="0" fillId="0" borderId="46" xfId="0" applyFont="1" applyFill="1" applyBorder="1" applyAlignment="1" applyProtection="1">
      <alignment horizontal="center"/>
      <protection hidden="1"/>
    </xf>
    <xf numFmtId="199" fontId="0" fillId="0" borderId="0" xfId="0" applyFont="1" applyFill="1" applyBorder="1" applyAlignment="1" applyProtection="1">
      <alignment horizontal="center"/>
      <protection hidden="1"/>
    </xf>
    <xf numFmtId="199" fontId="12" fillId="0" borderId="56" xfId="0" applyFont="1" applyFill="1" applyBorder="1" applyAlignment="1" applyProtection="1">
      <alignment horizontal="center" vertical="center" textRotation="90"/>
      <protection hidden="1"/>
    </xf>
    <xf numFmtId="199" fontId="12" fillId="0" borderId="57" xfId="0" applyFont="1" applyBorder="1" applyAlignment="1" applyProtection="1">
      <alignment horizontal="center" vertical="center" textRotation="90"/>
      <protection hidden="1"/>
    </xf>
    <xf numFmtId="199" fontId="12" fillId="0" borderId="58" xfId="0" applyFont="1" applyBorder="1" applyAlignment="1" applyProtection="1">
      <alignment horizontal="center" vertical="center" textRotation="90"/>
      <protection hidden="1"/>
    </xf>
    <xf numFmtId="199" fontId="12" fillId="0" borderId="57" xfId="0" applyFont="1" applyFill="1" applyBorder="1" applyAlignment="1" applyProtection="1">
      <alignment horizontal="center" vertical="center" textRotation="90"/>
      <protection hidden="1"/>
    </xf>
    <xf numFmtId="199" fontId="12" fillId="0" borderId="59" xfId="0" applyFont="1" applyBorder="1" applyAlignment="1" applyProtection="1">
      <alignment horizontal="center" vertical="center" textRotation="90"/>
      <protection hidden="1"/>
    </xf>
    <xf numFmtId="199" fontId="0" fillId="0" borderId="46" xfId="0" applyFont="1" applyFill="1" applyBorder="1" applyAlignment="1" applyProtection="1">
      <alignment horizontal="center" vertical="center"/>
      <protection hidden="1"/>
    </xf>
    <xf numFmtId="199" fontId="0" fillId="0" borderId="47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strike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6</xdr:row>
      <xdr:rowOff>9525</xdr:rowOff>
    </xdr:from>
    <xdr:to>
      <xdr:col>8</xdr:col>
      <xdr:colOff>85725</xdr:colOff>
      <xdr:row>19</xdr:row>
      <xdr:rowOff>9525</xdr:rowOff>
    </xdr:to>
    <xdr:sp>
      <xdr:nvSpPr>
        <xdr:cNvPr id="1" name="Line 2"/>
        <xdr:cNvSpPr>
          <a:spLocks/>
        </xdr:cNvSpPr>
      </xdr:nvSpPr>
      <xdr:spPr>
        <a:xfrm>
          <a:off x="2847975" y="1752600"/>
          <a:ext cx="0" cy="4438650"/>
        </a:xfrm>
        <a:prstGeom prst="line">
          <a:avLst/>
        </a:prstGeom>
        <a:noFill/>
        <a:ln w="9525" cmpd="sng">
          <a:solidFill>
            <a:srgbClr val="0000FF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oneCellAnchor>
    <xdr:from>
      <xdr:col>6</xdr:col>
      <xdr:colOff>561975</xdr:colOff>
      <xdr:row>12</xdr:row>
      <xdr:rowOff>85725</xdr:rowOff>
    </xdr:from>
    <xdr:ext cx="685800" cy="295275"/>
    <xdr:sp>
      <xdr:nvSpPr>
        <xdr:cNvPr id="2" name="Text Box 1"/>
        <xdr:cNvSpPr txBox="1">
          <a:spLocks noChangeArrowheads="1"/>
        </xdr:cNvSpPr>
      </xdr:nvSpPr>
      <xdr:spPr>
        <a:xfrm>
          <a:off x="2486025" y="3895725"/>
          <a:ext cx="685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77724" rIns="0" bIns="0" vert="vert270">
          <a:spAutoFit/>
        </a:bodyPr>
        <a:p>
          <a:pPr algn="l">
            <a:defRPr/>
          </a:pPr>
          <a:r>
            <a:rPr lang="en-US" cap="none" sz="3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A</a:t>
          </a:r>
        </a:p>
      </xdr:txBody>
    </xdr:sp>
    <xdr:clientData/>
  </xdr:oneCellAnchor>
  <xdr:twoCellAnchor>
    <xdr:from>
      <xdr:col>10</xdr:col>
      <xdr:colOff>0</xdr:colOff>
      <xdr:row>21</xdr:row>
      <xdr:rowOff>38100</xdr:rowOff>
    </xdr:from>
    <xdr:to>
      <xdr:col>26</xdr:col>
      <xdr:colOff>733425</xdr:colOff>
      <xdr:row>21</xdr:row>
      <xdr:rowOff>38100</xdr:rowOff>
    </xdr:to>
    <xdr:sp>
      <xdr:nvSpPr>
        <xdr:cNvPr id="3" name="Line 4"/>
        <xdr:cNvSpPr>
          <a:spLocks/>
        </xdr:cNvSpPr>
      </xdr:nvSpPr>
      <xdr:spPr>
        <a:xfrm>
          <a:off x="3305175" y="6591300"/>
          <a:ext cx="6257925" cy="0"/>
        </a:xfrm>
        <a:prstGeom prst="line">
          <a:avLst/>
        </a:prstGeom>
        <a:noFill/>
        <a:ln w="9525" cmpd="sng">
          <a:solidFill>
            <a:srgbClr val="0000FF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18</xdr:col>
      <xdr:colOff>171450</xdr:colOff>
      <xdr:row>19</xdr:row>
      <xdr:rowOff>66675</xdr:rowOff>
    </xdr:from>
    <xdr:to>
      <xdr:col>18</xdr:col>
      <xdr:colOff>533400</xdr:colOff>
      <xdr:row>22</xdr:row>
      <xdr:rowOff>95250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38875" y="6248400"/>
          <a:ext cx="3619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77724" rIns="36576" bIns="0"/>
        <a:p>
          <a:pPr algn="ctr">
            <a:defRPr/>
          </a:pPr>
          <a:r>
            <a:rPr lang="en-US" cap="none" sz="3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B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C%20Design\USD\Criteria-ST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ORGCRI"/>
    </sheetNames>
    <definedNames>
      <definedName name="FY" refersTo="=T-ORGCRI!$B$5"/>
    </definedNames>
    <sheetDataSet>
      <sheetData sheetId="0">
        <row r="5">
          <cell r="B5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O55"/>
  <sheetViews>
    <sheetView showGridLines="0" tabSelected="1" zoomScale="95" zoomScaleNormal="95" zoomScalePageLayoutView="0" workbookViewId="0" topLeftCell="A1">
      <selection activeCell="E3" sqref="E3"/>
    </sheetView>
  </sheetViews>
  <sheetFormatPr defaultColWidth="6.7109375" defaultRowHeight="23.25"/>
  <cols>
    <col min="1" max="1" width="6.7109375" style="77" customWidth="1"/>
    <col min="2" max="2" width="5.28125" style="77" customWidth="1"/>
    <col min="3" max="3" width="6.7109375" style="77" customWidth="1"/>
    <col min="4" max="9" width="7.7109375" style="77" customWidth="1"/>
    <col min="10" max="10" width="8.7109375" style="77" customWidth="1"/>
    <col min="11" max="11" width="8.00390625" style="77" customWidth="1"/>
    <col min="12" max="12" width="6.00390625" style="77" customWidth="1"/>
    <col min="13" max="15" width="6.7109375" style="77" customWidth="1"/>
    <col min="16" max="16" width="9.00390625" style="77" customWidth="1"/>
    <col min="17" max="17" width="9.7109375" style="77" customWidth="1"/>
    <col min="18" max="20" width="6.7109375" style="77" customWidth="1"/>
    <col min="21" max="23" width="6.7109375" style="77" hidden="1" customWidth="1"/>
    <col min="24" max="29" width="7.7109375" style="77" hidden="1" customWidth="1"/>
    <col min="30" max="30" width="6.7109375" style="77" hidden="1" customWidth="1"/>
    <col min="31" max="31" width="6.7109375" style="77" customWidth="1"/>
    <col min="32" max="119" width="6.7109375" style="77" hidden="1" customWidth="1"/>
    <col min="120" max="120" width="6.7109375" style="77" customWidth="1"/>
    <col min="121" max="16384" width="6.7109375" style="77" customWidth="1"/>
  </cols>
  <sheetData>
    <row r="1" spans="1:119" ht="26.25">
      <c r="A1" s="76" t="s">
        <v>0</v>
      </c>
      <c r="X1" s="78" t="s">
        <v>1</v>
      </c>
      <c r="Y1" s="78" t="s">
        <v>2</v>
      </c>
      <c r="AG1" s="79" t="s">
        <v>3</v>
      </c>
      <c r="AH1" s="78" t="s">
        <v>4</v>
      </c>
      <c r="AI1" s="78" t="s">
        <v>5</v>
      </c>
      <c r="AJ1" s="78" t="s">
        <v>6</v>
      </c>
      <c r="AK1" s="78" t="s">
        <v>7</v>
      </c>
      <c r="AL1" s="78" t="s">
        <v>8</v>
      </c>
      <c r="AM1" s="78" t="s">
        <v>9</v>
      </c>
      <c r="AN1" s="78" t="s">
        <v>10</v>
      </c>
      <c r="AO1" s="78" t="s">
        <v>11</v>
      </c>
      <c r="AP1" s="78" t="s">
        <v>12</v>
      </c>
      <c r="AR1" s="79" t="s">
        <v>13</v>
      </c>
      <c r="AS1" s="78" t="s">
        <v>4</v>
      </c>
      <c r="AT1" s="78" t="s">
        <v>5</v>
      </c>
      <c r="AU1" s="78" t="s">
        <v>6</v>
      </c>
      <c r="AV1" s="78" t="s">
        <v>7</v>
      </c>
      <c r="AW1" s="78" t="s">
        <v>8</v>
      </c>
      <c r="AX1" s="78" t="s">
        <v>9</v>
      </c>
      <c r="AY1" s="78" t="s">
        <v>10</v>
      </c>
      <c r="AZ1" s="78" t="s">
        <v>11</v>
      </c>
      <c r="BA1" s="78" t="s">
        <v>12</v>
      </c>
      <c r="BC1" s="79" t="s">
        <v>14</v>
      </c>
      <c r="BD1" s="78" t="s">
        <v>4</v>
      </c>
      <c r="BE1" s="78" t="s">
        <v>5</v>
      </c>
      <c r="BF1" s="78" t="s">
        <v>6</v>
      </c>
      <c r="BG1" s="78" t="s">
        <v>7</v>
      </c>
      <c r="BH1" s="78" t="s">
        <v>8</v>
      </c>
      <c r="BI1" s="78" t="s">
        <v>9</v>
      </c>
      <c r="BJ1" s="78" t="s">
        <v>10</v>
      </c>
      <c r="BK1" s="78" t="s">
        <v>11</v>
      </c>
      <c r="BL1" s="78" t="s">
        <v>12</v>
      </c>
      <c r="BN1" s="79" t="s">
        <v>15</v>
      </c>
      <c r="BO1" s="78" t="s">
        <v>4</v>
      </c>
      <c r="BP1" s="78" t="s">
        <v>5</v>
      </c>
      <c r="BQ1" s="78" t="s">
        <v>6</v>
      </c>
      <c r="BR1" s="78" t="s">
        <v>7</v>
      </c>
      <c r="BS1" s="78" t="s">
        <v>8</v>
      </c>
      <c r="BT1" s="78" t="s">
        <v>9</v>
      </c>
      <c r="BU1" s="78" t="s">
        <v>10</v>
      </c>
      <c r="BV1" s="78" t="s">
        <v>11</v>
      </c>
      <c r="BW1" s="78" t="s">
        <v>12</v>
      </c>
      <c r="BY1" s="79" t="s">
        <v>16</v>
      </c>
      <c r="BZ1" s="78" t="s">
        <v>4</v>
      </c>
      <c r="CA1" s="78" t="s">
        <v>5</v>
      </c>
      <c r="CB1" s="78" t="s">
        <v>6</v>
      </c>
      <c r="CC1" s="78" t="s">
        <v>7</v>
      </c>
      <c r="CD1" s="78" t="s">
        <v>8</v>
      </c>
      <c r="CE1" s="78" t="s">
        <v>9</v>
      </c>
      <c r="CF1" s="78" t="s">
        <v>10</v>
      </c>
      <c r="CG1" s="78" t="s">
        <v>11</v>
      </c>
      <c r="CH1" s="78" t="s">
        <v>12</v>
      </c>
      <c r="CJ1" s="79" t="s">
        <v>17</v>
      </c>
      <c r="CK1" s="78" t="s">
        <v>4</v>
      </c>
      <c r="CL1" s="78" t="s">
        <v>5</v>
      </c>
      <c r="CM1" s="78" t="s">
        <v>6</v>
      </c>
      <c r="CN1" s="78" t="s">
        <v>7</v>
      </c>
      <c r="CO1" s="78" t="s">
        <v>8</v>
      </c>
      <c r="CP1" s="78" t="s">
        <v>9</v>
      </c>
      <c r="CQ1" s="78" t="s">
        <v>10</v>
      </c>
      <c r="CR1" s="78" t="s">
        <v>11</v>
      </c>
      <c r="CS1" s="78" t="s">
        <v>12</v>
      </c>
      <c r="CU1" s="79" t="s">
        <v>18</v>
      </c>
      <c r="CV1" s="78" t="s">
        <v>4</v>
      </c>
      <c r="CW1" s="78" t="s">
        <v>5</v>
      </c>
      <c r="CX1" s="78" t="s">
        <v>6</v>
      </c>
      <c r="CY1" s="78" t="s">
        <v>7</v>
      </c>
      <c r="CZ1" s="78" t="s">
        <v>8</v>
      </c>
      <c r="DA1" s="78" t="s">
        <v>9</v>
      </c>
      <c r="DB1" s="78" t="s">
        <v>10</v>
      </c>
      <c r="DC1" s="78" t="s">
        <v>11</v>
      </c>
      <c r="DD1" s="78" t="s">
        <v>12</v>
      </c>
      <c r="DF1" s="79" t="s">
        <v>19</v>
      </c>
      <c r="DG1" s="78" t="s">
        <v>4</v>
      </c>
      <c r="DH1" s="78" t="s">
        <v>5</v>
      </c>
      <c r="DI1" s="78" t="s">
        <v>6</v>
      </c>
      <c r="DJ1" s="78" t="s">
        <v>7</v>
      </c>
      <c r="DK1" s="78" t="s">
        <v>8</v>
      </c>
      <c r="DL1" s="78" t="s">
        <v>9</v>
      </c>
      <c r="DM1" s="78" t="s">
        <v>10</v>
      </c>
      <c r="DN1" s="78" t="s">
        <v>11</v>
      </c>
      <c r="DO1" s="78" t="s">
        <v>12</v>
      </c>
    </row>
    <row r="2" spans="2:119" ht="23.25">
      <c r="B2" s="80" t="s">
        <v>23</v>
      </c>
      <c r="X2" s="81">
        <v>6</v>
      </c>
      <c r="Y2" s="82">
        <f aca="true" t="shared" si="0" ref="Y2:Y11">PI()*(X2/10)^2/4</f>
        <v>0.2827433388230814</v>
      </c>
      <c r="AA2" s="83" t="s">
        <v>20</v>
      </c>
      <c r="AB2" s="83" t="s">
        <v>21</v>
      </c>
      <c r="AC2" s="83" t="s">
        <v>22</v>
      </c>
      <c r="AG2" s="84">
        <v>0.5</v>
      </c>
      <c r="AI2" s="77">
        <v>0.086</v>
      </c>
      <c r="AK2" s="77">
        <v>0.094</v>
      </c>
      <c r="AL2" s="77">
        <v>0.09</v>
      </c>
      <c r="AM2" s="77">
        <v>0.097</v>
      </c>
      <c r="AO2" s="77">
        <v>0.089</v>
      </c>
      <c r="AP2" s="77">
        <v>0.088</v>
      </c>
      <c r="AR2" s="84">
        <v>0.5</v>
      </c>
      <c r="AT2" s="77">
        <v>0.006</v>
      </c>
      <c r="AU2" s="77">
        <v>0.022</v>
      </c>
      <c r="AV2" s="77">
        <v>0.006</v>
      </c>
      <c r="AY2" s="77">
        <v>0.014</v>
      </c>
      <c r="AZ2" s="77">
        <v>0.01</v>
      </c>
      <c r="BA2" s="77">
        <v>0.003</v>
      </c>
      <c r="BC2" s="84">
        <v>0.5</v>
      </c>
      <c r="BD2" s="77">
        <v>0.095</v>
      </c>
      <c r="BE2" s="77">
        <v>0.037</v>
      </c>
      <c r="BF2" s="77">
        <v>0.08</v>
      </c>
      <c r="BG2" s="77">
        <v>0.059</v>
      </c>
      <c r="BH2" s="77">
        <v>0.039</v>
      </c>
      <c r="BI2" s="77">
        <v>0.061</v>
      </c>
      <c r="BJ2" s="77">
        <v>0.089</v>
      </c>
      <c r="BK2" s="77">
        <v>0.056</v>
      </c>
      <c r="BL2" s="77">
        <v>0.038</v>
      </c>
      <c r="BN2" s="84">
        <v>0.5</v>
      </c>
      <c r="BO2" s="77">
        <v>0.006</v>
      </c>
      <c r="BP2" s="77">
        <v>0.002</v>
      </c>
      <c r="BQ2" s="77">
        <v>0.007</v>
      </c>
      <c r="BR2" s="77">
        <v>0.004</v>
      </c>
      <c r="BS2" s="77">
        <v>0.001</v>
      </c>
      <c r="BT2" s="77">
        <v>0.003</v>
      </c>
      <c r="BU2" s="77">
        <v>0.007</v>
      </c>
      <c r="BV2" s="77">
        <v>0.004</v>
      </c>
      <c r="BW2" s="77">
        <v>0.002</v>
      </c>
      <c r="BY2" s="84">
        <v>0.5</v>
      </c>
      <c r="BZ2" s="77">
        <v>0.095</v>
      </c>
      <c r="CA2" s="77">
        <v>0.066</v>
      </c>
      <c r="CB2" s="77">
        <v>0.088</v>
      </c>
      <c r="CC2" s="77">
        <v>0.077</v>
      </c>
      <c r="CD2" s="77">
        <v>0.067</v>
      </c>
      <c r="CE2" s="77">
        <v>0.078</v>
      </c>
      <c r="CF2" s="77">
        <v>0.092</v>
      </c>
      <c r="CG2" s="77">
        <v>0.076</v>
      </c>
      <c r="CH2" s="77">
        <v>0.067</v>
      </c>
      <c r="CJ2" s="84">
        <v>0.5</v>
      </c>
      <c r="CK2" s="77">
        <v>0.006</v>
      </c>
      <c r="CL2" s="77">
        <v>0.004</v>
      </c>
      <c r="CM2" s="77">
        <v>0.007</v>
      </c>
      <c r="CN2" s="77">
        <v>0.005</v>
      </c>
      <c r="CO2" s="77">
        <v>0.004</v>
      </c>
      <c r="CP2" s="77">
        <v>0.005</v>
      </c>
      <c r="CQ2" s="77">
        <v>0.007</v>
      </c>
      <c r="CR2" s="77">
        <v>0.005</v>
      </c>
      <c r="CS2" s="77">
        <v>0.004</v>
      </c>
      <c r="CU2" s="84">
        <v>0.5</v>
      </c>
      <c r="CV2" s="84">
        <v>0.94</v>
      </c>
      <c r="CW2" s="84">
        <v>0.94</v>
      </c>
      <c r="CX2" s="84">
        <v>0.76</v>
      </c>
      <c r="CY2" s="84">
        <v>0.94</v>
      </c>
      <c r="CZ2" s="84">
        <v>0.99</v>
      </c>
      <c r="DA2" s="84">
        <v>0.97</v>
      </c>
      <c r="DB2" s="84">
        <v>0.86</v>
      </c>
      <c r="DC2" s="84">
        <v>0.89</v>
      </c>
      <c r="DD2" s="84">
        <v>0.97</v>
      </c>
      <c r="DF2" s="84">
        <v>0.5</v>
      </c>
      <c r="DG2" s="84">
        <v>0.06000000000000005</v>
      </c>
      <c r="DH2" s="84">
        <v>0.06000000000000005</v>
      </c>
      <c r="DI2" s="84">
        <v>0.24</v>
      </c>
      <c r="DJ2" s="84">
        <v>0.06000000000000005</v>
      </c>
      <c r="DK2" s="84">
        <v>0.01</v>
      </c>
      <c r="DL2" s="84">
        <v>0.03</v>
      </c>
      <c r="DM2" s="84">
        <v>0.14</v>
      </c>
      <c r="DN2" s="84">
        <v>0.11</v>
      </c>
      <c r="DO2" s="84">
        <v>0.03</v>
      </c>
    </row>
    <row r="3" spans="4:119" ht="30.75">
      <c r="D3" s="79" t="s">
        <v>92</v>
      </c>
      <c r="E3" s="1">
        <v>210</v>
      </c>
      <c r="F3" s="83" t="s">
        <v>24</v>
      </c>
      <c r="P3" s="79" t="s">
        <v>78</v>
      </c>
      <c r="Q3" s="85" t="s">
        <v>123</v>
      </c>
      <c r="X3" s="81">
        <v>9</v>
      </c>
      <c r="Y3" s="82">
        <f t="shared" si="0"/>
        <v>0.6361725123519332</v>
      </c>
      <c r="AA3" s="77" t="str">
        <f>LEFT(R13,2)</f>
        <v>RB</v>
      </c>
      <c r="AB3" s="77" t="str">
        <f>LEFT(S13,2)</f>
        <v>RB</v>
      </c>
      <c r="AC3" s="77" t="str">
        <f>LEFT(T13,2)</f>
        <v>DB</v>
      </c>
      <c r="AG3" s="84">
        <v>0.55</v>
      </c>
      <c r="AI3" s="77">
        <v>0.084</v>
      </c>
      <c r="AK3" s="77">
        <v>0.092</v>
      </c>
      <c r="AL3" s="77">
        <v>0.089</v>
      </c>
      <c r="AM3" s="77">
        <v>0.096</v>
      </c>
      <c r="AO3" s="77">
        <v>0.085</v>
      </c>
      <c r="AP3" s="77">
        <v>0.086</v>
      </c>
      <c r="AR3" s="84">
        <v>0.55</v>
      </c>
      <c r="AT3" s="77">
        <v>0.007</v>
      </c>
      <c r="AU3" s="77">
        <v>0.028</v>
      </c>
      <c r="AV3" s="77">
        <v>0.008</v>
      </c>
      <c r="AY3" s="77">
        <v>0.019</v>
      </c>
      <c r="AZ3" s="77">
        <v>0.014</v>
      </c>
      <c r="BA3" s="77">
        <v>0.005</v>
      </c>
      <c r="BC3" s="84">
        <v>0.55</v>
      </c>
      <c r="BD3" s="77">
        <v>0.088</v>
      </c>
      <c r="BE3" s="77">
        <v>0.035</v>
      </c>
      <c r="BF3" s="77">
        <v>0.071</v>
      </c>
      <c r="BG3" s="77">
        <v>0.056</v>
      </c>
      <c r="BH3" s="77">
        <v>0.038</v>
      </c>
      <c r="BI3" s="77">
        <v>0.058</v>
      </c>
      <c r="BJ3" s="77">
        <v>0.081</v>
      </c>
      <c r="BK3" s="77">
        <v>0.052</v>
      </c>
      <c r="BL3" s="77">
        <v>0.037</v>
      </c>
      <c r="BN3" s="84">
        <v>0.55</v>
      </c>
      <c r="BO3" s="77">
        <v>0.008</v>
      </c>
      <c r="BP3" s="77">
        <v>0.003</v>
      </c>
      <c r="BQ3" s="77">
        <v>0.009</v>
      </c>
      <c r="BR3" s="77">
        <v>0.005</v>
      </c>
      <c r="BS3" s="77">
        <v>0.002</v>
      </c>
      <c r="BT3" s="77">
        <v>0.004</v>
      </c>
      <c r="BU3" s="77">
        <v>0.009</v>
      </c>
      <c r="BV3" s="77">
        <v>0.005</v>
      </c>
      <c r="BW3" s="77">
        <v>0.003</v>
      </c>
      <c r="BY3" s="84">
        <v>0.55</v>
      </c>
      <c r="BZ3" s="77">
        <v>0.088</v>
      </c>
      <c r="CA3" s="77">
        <v>0.062</v>
      </c>
      <c r="CB3" s="77">
        <v>0.08</v>
      </c>
      <c r="CC3" s="77">
        <v>0.072</v>
      </c>
      <c r="CD3" s="77">
        <v>0.063</v>
      </c>
      <c r="CE3" s="77">
        <v>0.073</v>
      </c>
      <c r="CF3" s="77">
        <v>0.085</v>
      </c>
      <c r="CG3" s="77">
        <v>0.07</v>
      </c>
      <c r="CH3" s="77">
        <v>0.063</v>
      </c>
      <c r="CJ3" s="84">
        <v>0.55</v>
      </c>
      <c r="CK3" s="77">
        <v>0.008</v>
      </c>
      <c r="CL3" s="77">
        <v>0.006</v>
      </c>
      <c r="CM3" s="77">
        <v>0.009</v>
      </c>
      <c r="CN3" s="77">
        <v>0.007</v>
      </c>
      <c r="CO3" s="77">
        <v>0.005</v>
      </c>
      <c r="CP3" s="77">
        <v>0.006</v>
      </c>
      <c r="CQ3" s="77">
        <v>0.009</v>
      </c>
      <c r="CR3" s="77">
        <v>0.007</v>
      </c>
      <c r="CS3" s="77">
        <v>0.006</v>
      </c>
      <c r="CU3" s="84">
        <v>0.55</v>
      </c>
      <c r="CV3" s="84">
        <v>0.92</v>
      </c>
      <c r="CW3" s="84">
        <v>0.92</v>
      </c>
      <c r="CX3" s="84">
        <v>0.69</v>
      </c>
      <c r="CY3" s="84">
        <v>0.92</v>
      </c>
      <c r="CZ3" s="84">
        <v>0.98</v>
      </c>
      <c r="DA3" s="84">
        <v>0.96</v>
      </c>
      <c r="DB3" s="84">
        <v>0.81</v>
      </c>
      <c r="DC3" s="84">
        <v>0.85</v>
      </c>
      <c r="DD3" s="84">
        <v>0.95</v>
      </c>
      <c r="DF3" s="84">
        <v>0.55</v>
      </c>
      <c r="DG3" s="84">
        <v>0.08</v>
      </c>
      <c r="DH3" s="84">
        <v>0.08</v>
      </c>
      <c r="DI3" s="84">
        <v>0.31</v>
      </c>
      <c r="DJ3" s="84">
        <v>0.08</v>
      </c>
      <c r="DK3" s="84">
        <v>0.02</v>
      </c>
      <c r="DL3" s="84">
        <v>0.04</v>
      </c>
      <c r="DM3" s="84">
        <v>0.19</v>
      </c>
      <c r="DN3" s="84">
        <v>0.15</v>
      </c>
      <c r="DO3" s="84">
        <v>0.05</v>
      </c>
    </row>
    <row r="4" spans="2:119" ht="30.75">
      <c r="B4" s="79" t="s">
        <v>30</v>
      </c>
      <c r="C4" s="79" t="s">
        <v>31</v>
      </c>
      <c r="D4" s="79" t="s">
        <v>93</v>
      </c>
      <c r="E4" s="1">
        <v>2400</v>
      </c>
      <c r="F4" s="83" t="s">
        <v>24</v>
      </c>
      <c r="P4" s="79" t="s">
        <v>76</v>
      </c>
      <c r="Q4" s="2" t="s">
        <v>124</v>
      </c>
      <c r="X4" s="81">
        <v>10</v>
      </c>
      <c r="Y4" s="82">
        <f t="shared" si="0"/>
        <v>0.7853981633974483</v>
      </c>
      <c r="AA4" s="83" t="s">
        <v>26</v>
      </c>
      <c r="AB4" s="83" t="s">
        <v>27</v>
      </c>
      <c r="AC4" s="83" t="s">
        <v>28</v>
      </c>
      <c r="AD4" s="78" t="s">
        <v>29</v>
      </c>
      <c r="AG4" s="84">
        <v>0.6</v>
      </c>
      <c r="AI4" s="77">
        <v>0.081</v>
      </c>
      <c r="AK4" s="77">
        <v>0.089</v>
      </c>
      <c r="AL4" s="77">
        <v>0.088</v>
      </c>
      <c r="AM4" s="77">
        <v>0.095</v>
      </c>
      <c r="AO4" s="77">
        <v>0.08</v>
      </c>
      <c r="AP4" s="77">
        <v>0.085</v>
      </c>
      <c r="AR4" s="84">
        <v>0.6</v>
      </c>
      <c r="AT4" s="77">
        <v>0.01</v>
      </c>
      <c r="AU4" s="77">
        <v>0.035</v>
      </c>
      <c r="AV4" s="77">
        <v>0.011</v>
      </c>
      <c r="AY4" s="77">
        <v>0.024</v>
      </c>
      <c r="AZ4" s="77">
        <v>0.018</v>
      </c>
      <c r="BA4" s="77">
        <v>0.006</v>
      </c>
      <c r="BC4" s="84">
        <v>0.6</v>
      </c>
      <c r="BD4" s="77">
        <v>0.081</v>
      </c>
      <c r="BE4" s="77">
        <v>0.034</v>
      </c>
      <c r="BF4" s="77">
        <v>0.062</v>
      </c>
      <c r="BG4" s="77">
        <v>0.053</v>
      </c>
      <c r="BH4" s="77">
        <v>0.037</v>
      </c>
      <c r="BI4" s="77">
        <v>0.056</v>
      </c>
      <c r="BJ4" s="77">
        <v>0.073</v>
      </c>
      <c r="BK4" s="77">
        <v>0.048</v>
      </c>
      <c r="BL4" s="77">
        <v>0.036</v>
      </c>
      <c r="BN4" s="84">
        <v>0.6</v>
      </c>
      <c r="BO4" s="77">
        <v>0.01</v>
      </c>
      <c r="BP4" s="77">
        <v>0.004</v>
      </c>
      <c r="BQ4" s="77">
        <v>0.011</v>
      </c>
      <c r="BR4" s="77">
        <v>0.007</v>
      </c>
      <c r="BS4" s="77">
        <v>0.003</v>
      </c>
      <c r="BT4" s="77">
        <v>0.006</v>
      </c>
      <c r="BU4" s="77">
        <v>0.012</v>
      </c>
      <c r="BV4" s="77">
        <v>0.007</v>
      </c>
      <c r="BW4" s="77">
        <v>0.004</v>
      </c>
      <c r="BY4" s="84">
        <v>0.6</v>
      </c>
      <c r="BZ4" s="77">
        <v>0.081</v>
      </c>
      <c r="CA4" s="77">
        <v>0.058</v>
      </c>
      <c r="CB4" s="77">
        <v>0.071</v>
      </c>
      <c r="CC4" s="77">
        <v>0.067</v>
      </c>
      <c r="CD4" s="77">
        <v>0.059</v>
      </c>
      <c r="CE4" s="77">
        <v>0.068</v>
      </c>
      <c r="CF4" s="77">
        <v>0.077</v>
      </c>
      <c r="CG4" s="77">
        <v>0.065</v>
      </c>
      <c r="CH4" s="77">
        <v>0.059</v>
      </c>
      <c r="CJ4" s="84">
        <v>0.6</v>
      </c>
      <c r="CK4" s="77">
        <v>0.01</v>
      </c>
      <c r="CL4" s="77">
        <v>0.007</v>
      </c>
      <c r="CM4" s="77">
        <v>0.011</v>
      </c>
      <c r="CN4" s="77">
        <v>0.009</v>
      </c>
      <c r="CO4" s="77">
        <v>0.007</v>
      </c>
      <c r="CP4" s="77">
        <v>0.008</v>
      </c>
      <c r="CQ4" s="77">
        <v>0.011</v>
      </c>
      <c r="CR4" s="77">
        <v>0.009</v>
      </c>
      <c r="CS4" s="77">
        <v>0.007</v>
      </c>
      <c r="CU4" s="84">
        <v>0.6</v>
      </c>
      <c r="CV4" s="84">
        <v>0.89</v>
      </c>
      <c r="CW4" s="84">
        <v>0.89</v>
      </c>
      <c r="CX4" s="84">
        <v>0.61</v>
      </c>
      <c r="CY4" s="84">
        <v>0.89</v>
      </c>
      <c r="CZ4" s="84">
        <v>0.97</v>
      </c>
      <c r="DA4" s="84">
        <v>0.95</v>
      </c>
      <c r="DB4" s="84">
        <v>0.76</v>
      </c>
      <c r="DC4" s="84">
        <v>0.8</v>
      </c>
      <c r="DD4" s="84">
        <v>0.94</v>
      </c>
      <c r="DF4" s="84">
        <v>0.6</v>
      </c>
      <c r="DG4" s="84">
        <v>0.11</v>
      </c>
      <c r="DH4" s="84">
        <v>0.11</v>
      </c>
      <c r="DI4" s="84">
        <v>0.39</v>
      </c>
      <c r="DJ4" s="84">
        <v>0.11</v>
      </c>
      <c r="DK4" s="84">
        <v>0.03</v>
      </c>
      <c r="DL4" s="84">
        <v>0.05</v>
      </c>
      <c r="DM4" s="84">
        <v>0.24</v>
      </c>
      <c r="DN4" s="84">
        <v>0.2</v>
      </c>
      <c r="DO4" s="84">
        <v>0.06000000000000005</v>
      </c>
    </row>
    <row r="5" spans="2:119" ht="23.25">
      <c r="B5" s="79" t="s">
        <v>32</v>
      </c>
      <c r="C5" s="79" t="s">
        <v>31</v>
      </c>
      <c r="D5" s="79" t="s">
        <v>49</v>
      </c>
      <c r="E5" s="1">
        <f>[1]!FY</f>
        <v>3000</v>
      </c>
      <c r="F5" s="83" t="s">
        <v>24</v>
      </c>
      <c r="P5" s="79" t="s">
        <v>25</v>
      </c>
      <c r="Q5" s="130">
        <f ca="1">NOW()</f>
        <v>40248.90003379629</v>
      </c>
      <c r="R5" s="130"/>
      <c r="X5" s="81">
        <v>12</v>
      </c>
      <c r="Y5" s="77">
        <f t="shared" si="0"/>
        <v>1.1309733552923256</v>
      </c>
      <c r="AA5" s="81">
        <f>VALUE(MID(R13,3,2))</f>
        <v>6</v>
      </c>
      <c r="AB5" s="81">
        <f>VALUE(MID(S13,3,2))</f>
        <v>9</v>
      </c>
      <c r="AC5" s="81">
        <f>VALUE(MID(T13,3,2))</f>
        <v>12</v>
      </c>
      <c r="AD5" s="77">
        <f>IF($E$3&gt;560,0.65,IF($E$3&lt;=280,0.85,0.85-0.05*($E$3-280)/70))</f>
        <v>0.85</v>
      </c>
      <c r="AG5" s="84">
        <v>0.65</v>
      </c>
      <c r="AI5" s="77">
        <v>0.077</v>
      </c>
      <c r="AK5" s="77">
        <v>0.085</v>
      </c>
      <c r="AL5" s="77">
        <v>0.087</v>
      </c>
      <c r="AM5" s="77">
        <v>0.093</v>
      </c>
      <c r="AO5" s="77">
        <v>0.074</v>
      </c>
      <c r="AP5" s="77">
        <v>0.083</v>
      </c>
      <c r="AR5" s="84">
        <v>0.65</v>
      </c>
      <c r="AT5" s="77">
        <v>0.014</v>
      </c>
      <c r="AU5" s="77">
        <v>0.043</v>
      </c>
      <c r="AV5" s="77">
        <v>0.015</v>
      </c>
      <c r="AY5" s="77">
        <v>0.031</v>
      </c>
      <c r="AZ5" s="77">
        <v>0.024</v>
      </c>
      <c r="BA5" s="77">
        <v>0.008</v>
      </c>
      <c r="BC5" s="84">
        <v>0.65</v>
      </c>
      <c r="BD5" s="77">
        <v>0.074</v>
      </c>
      <c r="BE5" s="77">
        <v>0.032</v>
      </c>
      <c r="BF5" s="77">
        <v>0.054</v>
      </c>
      <c r="BG5" s="77">
        <v>0.05</v>
      </c>
      <c r="BH5" s="77">
        <v>0.036</v>
      </c>
      <c r="BI5" s="77">
        <v>0.054</v>
      </c>
      <c r="BJ5" s="77">
        <v>0.065</v>
      </c>
      <c r="BK5" s="77">
        <v>0.044</v>
      </c>
      <c r="BL5" s="77">
        <v>0.034</v>
      </c>
      <c r="BN5" s="84">
        <v>0.65</v>
      </c>
      <c r="BO5" s="77">
        <v>0.013</v>
      </c>
      <c r="BP5" s="77">
        <v>0.006</v>
      </c>
      <c r="BQ5" s="77">
        <v>0.014</v>
      </c>
      <c r="BR5" s="77">
        <v>0.009</v>
      </c>
      <c r="BS5" s="77">
        <v>0.004</v>
      </c>
      <c r="BT5" s="77">
        <v>0.007</v>
      </c>
      <c r="BU5" s="77">
        <v>0.014</v>
      </c>
      <c r="BV5" s="77">
        <v>0.009</v>
      </c>
      <c r="BW5" s="77">
        <v>0.005</v>
      </c>
      <c r="BY5" s="84">
        <v>0.65</v>
      </c>
      <c r="BZ5" s="77">
        <v>0.074</v>
      </c>
      <c r="CA5" s="77">
        <v>0.053</v>
      </c>
      <c r="CB5" s="77">
        <v>0.064</v>
      </c>
      <c r="CC5" s="77">
        <v>0.062</v>
      </c>
      <c r="CD5" s="77">
        <v>0.055</v>
      </c>
      <c r="CE5" s="77">
        <v>0.064</v>
      </c>
      <c r="CF5" s="77">
        <v>0.07</v>
      </c>
      <c r="CG5" s="77">
        <v>0.059</v>
      </c>
      <c r="CH5" s="77">
        <v>0.054</v>
      </c>
      <c r="CJ5" s="84">
        <v>0.65</v>
      </c>
      <c r="CK5" s="77">
        <v>0.013</v>
      </c>
      <c r="CL5" s="77">
        <v>0.01</v>
      </c>
      <c r="CM5" s="77">
        <v>0.014</v>
      </c>
      <c r="CN5" s="77">
        <v>0.011</v>
      </c>
      <c r="CO5" s="77">
        <v>0.009</v>
      </c>
      <c r="CP5" s="77">
        <v>0.01</v>
      </c>
      <c r="CQ5" s="77">
        <v>0.014</v>
      </c>
      <c r="CR5" s="77">
        <v>0.011</v>
      </c>
      <c r="CS5" s="77">
        <v>0.009</v>
      </c>
      <c r="CU5" s="84">
        <v>0.65</v>
      </c>
      <c r="CV5" s="84">
        <v>0.85</v>
      </c>
      <c r="CW5" s="84">
        <v>0.85</v>
      </c>
      <c r="CX5" s="84">
        <v>0.53</v>
      </c>
      <c r="CY5" s="84">
        <v>0.85</v>
      </c>
      <c r="CZ5" s="84">
        <v>0.96</v>
      </c>
      <c r="DA5" s="84">
        <v>0.93</v>
      </c>
      <c r="DB5" s="84">
        <v>0.69</v>
      </c>
      <c r="DC5" s="84">
        <v>0.74</v>
      </c>
      <c r="DD5" s="84">
        <v>0.92</v>
      </c>
      <c r="DF5" s="84">
        <v>0.65</v>
      </c>
      <c r="DG5" s="84">
        <v>0.15</v>
      </c>
      <c r="DH5" s="84">
        <v>0.15</v>
      </c>
      <c r="DI5" s="84">
        <v>0.47</v>
      </c>
      <c r="DJ5" s="84">
        <v>0.15</v>
      </c>
      <c r="DK5" s="84">
        <v>0.04</v>
      </c>
      <c r="DL5" s="84">
        <v>0.06999999999999995</v>
      </c>
      <c r="DM5" s="84">
        <v>0.31</v>
      </c>
      <c r="DN5" s="84">
        <v>0.26</v>
      </c>
      <c r="DO5" s="84">
        <v>0.08</v>
      </c>
    </row>
    <row r="6" spans="16:119" ht="23.25">
      <c r="P6" s="79" t="s">
        <v>97</v>
      </c>
      <c r="Q6" s="2" t="s">
        <v>121</v>
      </c>
      <c r="X6" s="81">
        <v>15</v>
      </c>
      <c r="Y6" s="77">
        <f t="shared" si="0"/>
        <v>1.7671458676442586</v>
      </c>
      <c r="AA6" s="83" t="s">
        <v>33</v>
      </c>
      <c r="AB6" s="83" t="s">
        <v>34</v>
      </c>
      <c r="AC6" s="83" t="s">
        <v>35</v>
      </c>
      <c r="AG6" s="84">
        <v>0.7</v>
      </c>
      <c r="AI6" s="77">
        <v>0.074</v>
      </c>
      <c r="AK6" s="77">
        <v>0.081</v>
      </c>
      <c r="AL6" s="77">
        <v>0.086</v>
      </c>
      <c r="AM6" s="77">
        <v>0.091</v>
      </c>
      <c r="AO6" s="77">
        <v>0.068</v>
      </c>
      <c r="AP6" s="77">
        <v>0.081</v>
      </c>
      <c r="AR6" s="84">
        <v>0.7</v>
      </c>
      <c r="AT6" s="77">
        <v>0.017</v>
      </c>
      <c r="AU6" s="77">
        <v>0.05</v>
      </c>
      <c r="AV6" s="77">
        <v>0.019</v>
      </c>
      <c r="AY6" s="77">
        <v>0.038</v>
      </c>
      <c r="AZ6" s="77">
        <v>0.029</v>
      </c>
      <c r="BA6" s="77">
        <v>0.011</v>
      </c>
      <c r="BC6" s="84">
        <v>0.7</v>
      </c>
      <c r="BD6" s="77">
        <v>0.068</v>
      </c>
      <c r="BE6" s="77">
        <v>0.03</v>
      </c>
      <c r="BF6" s="77">
        <v>0.046</v>
      </c>
      <c r="BG6" s="77">
        <v>0.046</v>
      </c>
      <c r="BH6" s="77">
        <v>0.035</v>
      </c>
      <c r="BI6" s="77">
        <v>0.051</v>
      </c>
      <c r="BJ6" s="77">
        <v>0.058</v>
      </c>
      <c r="BK6" s="77">
        <v>0.04</v>
      </c>
      <c r="BL6" s="77">
        <v>0.033</v>
      </c>
      <c r="BN6" s="84">
        <v>0.7</v>
      </c>
      <c r="BO6" s="77">
        <v>0.016</v>
      </c>
      <c r="BP6" s="77">
        <v>0.007</v>
      </c>
      <c r="BQ6" s="77">
        <v>0.016</v>
      </c>
      <c r="BR6" s="77">
        <v>0.011</v>
      </c>
      <c r="BS6" s="77">
        <v>0.005</v>
      </c>
      <c r="BT6" s="77">
        <v>0.009</v>
      </c>
      <c r="BU6" s="77">
        <v>0.017</v>
      </c>
      <c r="BV6" s="77">
        <v>0.011</v>
      </c>
      <c r="BW6" s="77">
        <v>0.006</v>
      </c>
      <c r="BY6" s="84">
        <v>0.7</v>
      </c>
      <c r="BZ6" s="77">
        <v>0.068</v>
      </c>
      <c r="CA6" s="77">
        <v>0.049</v>
      </c>
      <c r="CB6" s="77">
        <v>0.057</v>
      </c>
      <c r="CC6" s="77">
        <v>0.057</v>
      </c>
      <c r="CD6" s="77">
        <v>0.051</v>
      </c>
      <c r="CE6" s="77">
        <v>0.06</v>
      </c>
      <c r="CF6" s="77">
        <v>0.063</v>
      </c>
      <c r="CG6" s="77">
        <v>0.054</v>
      </c>
      <c r="CH6" s="77">
        <v>0.05</v>
      </c>
      <c r="CJ6" s="84">
        <v>0.7</v>
      </c>
      <c r="CK6" s="77">
        <v>0.016</v>
      </c>
      <c r="CL6" s="77">
        <v>0.012</v>
      </c>
      <c r="CM6" s="77">
        <v>0.016</v>
      </c>
      <c r="CN6" s="77">
        <v>0.014</v>
      </c>
      <c r="CO6" s="77">
        <v>0.011</v>
      </c>
      <c r="CP6" s="77">
        <v>0.013</v>
      </c>
      <c r="CQ6" s="77">
        <v>0.017</v>
      </c>
      <c r="CR6" s="77">
        <v>0.014</v>
      </c>
      <c r="CS6" s="77">
        <v>0.011</v>
      </c>
      <c r="CU6" s="84">
        <v>0.7</v>
      </c>
      <c r="CV6" s="84">
        <v>0.81</v>
      </c>
      <c r="CW6" s="84">
        <v>0.81</v>
      </c>
      <c r="CX6" s="84">
        <v>0.45</v>
      </c>
      <c r="CY6" s="84">
        <v>0.81</v>
      </c>
      <c r="CZ6" s="84">
        <v>0.95</v>
      </c>
      <c r="DA6" s="84">
        <v>0.91</v>
      </c>
      <c r="DB6" s="84">
        <v>0.62</v>
      </c>
      <c r="DC6" s="84">
        <v>0.68</v>
      </c>
      <c r="DD6" s="84">
        <v>0.89</v>
      </c>
      <c r="DF6" s="84">
        <v>0.7</v>
      </c>
      <c r="DG6" s="84">
        <v>0.19</v>
      </c>
      <c r="DH6" s="84">
        <v>0.19</v>
      </c>
      <c r="DI6" s="84">
        <v>0.55</v>
      </c>
      <c r="DJ6" s="84">
        <v>0.19</v>
      </c>
      <c r="DK6" s="84">
        <v>0.05</v>
      </c>
      <c r="DL6" s="84">
        <v>0.09</v>
      </c>
      <c r="DM6" s="84">
        <v>0.38</v>
      </c>
      <c r="DN6" s="84">
        <v>0.32</v>
      </c>
      <c r="DO6" s="84">
        <v>0.11</v>
      </c>
    </row>
    <row r="7" spans="2:119" ht="30.75">
      <c r="B7" s="83" t="s">
        <v>36</v>
      </c>
      <c r="C7" s="78" t="s">
        <v>37</v>
      </c>
      <c r="D7" s="79" t="s">
        <v>90</v>
      </c>
      <c r="E7" s="86">
        <v>0.0025</v>
      </c>
      <c r="P7" s="79" t="s">
        <v>77</v>
      </c>
      <c r="Q7" s="27" t="s">
        <v>122</v>
      </c>
      <c r="X7" s="81">
        <v>16</v>
      </c>
      <c r="Y7" s="77">
        <f t="shared" si="0"/>
        <v>2.0106192982974678</v>
      </c>
      <c r="AA7" s="81">
        <f>VLOOKUP(AA3,$B$4:$E$5,4)</f>
        <v>2400</v>
      </c>
      <c r="AB7" s="81">
        <f>VLOOKUP(AB3,$B$4:$E$5,4)</f>
        <v>2400</v>
      </c>
      <c r="AC7" s="81">
        <f>VLOOKUP(AC3,$B$4:$E$5,4)</f>
        <v>3000</v>
      </c>
      <c r="AD7" s="81"/>
      <c r="AG7" s="84">
        <v>0.75</v>
      </c>
      <c r="AI7" s="77">
        <v>0.069</v>
      </c>
      <c r="AK7" s="77">
        <v>0.076</v>
      </c>
      <c r="AL7" s="77">
        <v>0.085</v>
      </c>
      <c r="AM7" s="77">
        <v>0.088</v>
      </c>
      <c r="AO7" s="77">
        <v>0.061</v>
      </c>
      <c r="AP7" s="77">
        <v>0.078</v>
      </c>
      <c r="AR7" s="84">
        <v>0.75</v>
      </c>
      <c r="AT7" s="77">
        <v>0.022</v>
      </c>
      <c r="AU7" s="77">
        <v>0.056</v>
      </c>
      <c r="AV7" s="77">
        <v>0.024</v>
      </c>
      <c r="AY7" s="77">
        <v>0.044</v>
      </c>
      <c r="AZ7" s="77">
        <v>0.036</v>
      </c>
      <c r="BA7" s="77">
        <v>0.014</v>
      </c>
      <c r="BC7" s="84">
        <v>0.75</v>
      </c>
      <c r="BD7" s="77">
        <v>0.061</v>
      </c>
      <c r="BE7" s="77">
        <v>0.028</v>
      </c>
      <c r="BF7" s="77">
        <v>0.04</v>
      </c>
      <c r="BG7" s="77">
        <v>0.043</v>
      </c>
      <c r="BH7" s="77">
        <v>0.033</v>
      </c>
      <c r="BI7" s="77">
        <v>0.048</v>
      </c>
      <c r="BJ7" s="77">
        <v>0.051</v>
      </c>
      <c r="BK7" s="77">
        <v>0.036</v>
      </c>
      <c r="BL7" s="77">
        <v>0.031</v>
      </c>
      <c r="BN7" s="84">
        <v>0.75</v>
      </c>
      <c r="BO7" s="77">
        <v>0.019</v>
      </c>
      <c r="BP7" s="77">
        <v>0.009</v>
      </c>
      <c r="BQ7" s="77">
        <v>0.018</v>
      </c>
      <c r="BR7" s="77">
        <v>0.013</v>
      </c>
      <c r="BS7" s="77">
        <v>0.007</v>
      </c>
      <c r="BT7" s="77">
        <v>0.012</v>
      </c>
      <c r="BU7" s="77">
        <v>0.02</v>
      </c>
      <c r="BV7" s="77">
        <v>0.013</v>
      </c>
      <c r="BW7" s="77">
        <v>0.007</v>
      </c>
      <c r="BY7" s="84">
        <v>0.75</v>
      </c>
      <c r="BZ7" s="77">
        <v>0.061</v>
      </c>
      <c r="CA7" s="77">
        <v>0.045</v>
      </c>
      <c r="CB7" s="77">
        <v>0.051</v>
      </c>
      <c r="CC7" s="77">
        <v>0.052</v>
      </c>
      <c r="CD7" s="77">
        <v>0.047</v>
      </c>
      <c r="CE7" s="77">
        <v>0.055</v>
      </c>
      <c r="CF7" s="77">
        <v>0.056</v>
      </c>
      <c r="CG7" s="77">
        <v>0.049</v>
      </c>
      <c r="CH7" s="77">
        <v>0.046</v>
      </c>
      <c r="CJ7" s="84">
        <v>0.75</v>
      </c>
      <c r="CK7" s="77">
        <v>0.019</v>
      </c>
      <c r="CL7" s="77">
        <v>0.014</v>
      </c>
      <c r="CM7" s="77">
        <v>0.019</v>
      </c>
      <c r="CN7" s="77">
        <v>0.016</v>
      </c>
      <c r="CO7" s="77">
        <v>0.013</v>
      </c>
      <c r="CP7" s="77">
        <v>0.016</v>
      </c>
      <c r="CQ7" s="77">
        <v>0.02</v>
      </c>
      <c r="CR7" s="77">
        <v>0.016</v>
      </c>
      <c r="CS7" s="77">
        <v>0.013</v>
      </c>
      <c r="CU7" s="84">
        <v>0.75</v>
      </c>
      <c r="CV7" s="84">
        <v>0.76</v>
      </c>
      <c r="CW7" s="84">
        <v>0.76</v>
      </c>
      <c r="CX7" s="84">
        <v>0.39</v>
      </c>
      <c r="CY7" s="84">
        <v>0.76</v>
      </c>
      <c r="CZ7" s="84">
        <v>0.94</v>
      </c>
      <c r="DA7" s="84">
        <v>0.88</v>
      </c>
      <c r="DB7" s="84">
        <v>0.56</v>
      </c>
      <c r="DC7" s="84">
        <v>0.61</v>
      </c>
      <c r="DD7" s="84">
        <v>0.86</v>
      </c>
      <c r="DF7" s="84">
        <v>0.75</v>
      </c>
      <c r="DG7" s="84">
        <v>0.24</v>
      </c>
      <c r="DH7" s="84">
        <v>0.24</v>
      </c>
      <c r="DI7" s="84">
        <v>0.61</v>
      </c>
      <c r="DJ7" s="84">
        <v>0.24</v>
      </c>
      <c r="DK7" s="84">
        <v>0.06000000000000005</v>
      </c>
      <c r="DL7" s="84">
        <v>0.12</v>
      </c>
      <c r="DM7" s="84">
        <v>0.44</v>
      </c>
      <c r="DN7" s="84">
        <v>0.39</v>
      </c>
      <c r="DO7" s="84">
        <v>0.14</v>
      </c>
    </row>
    <row r="8" spans="1:119" ht="23.25">
      <c r="A8" s="83" t="s">
        <v>41</v>
      </c>
      <c r="B8" s="83" t="s">
        <v>42</v>
      </c>
      <c r="C8" s="78" t="s">
        <v>37</v>
      </c>
      <c r="D8" s="79" t="s">
        <v>49</v>
      </c>
      <c r="E8" s="86">
        <v>0.002</v>
      </c>
      <c r="O8" s="87" t="s">
        <v>43</v>
      </c>
      <c r="X8" s="81">
        <v>19</v>
      </c>
      <c r="Y8" s="77">
        <f t="shared" si="0"/>
        <v>2.8352873698647882</v>
      </c>
      <c r="AA8" s="78" t="s">
        <v>38</v>
      </c>
      <c r="AB8" s="78" t="s">
        <v>39</v>
      </c>
      <c r="AC8" s="78" t="s">
        <v>40</v>
      </c>
      <c r="AG8" s="84">
        <v>0.8</v>
      </c>
      <c r="AI8" s="77">
        <v>0.065</v>
      </c>
      <c r="AK8" s="77">
        <v>0.071</v>
      </c>
      <c r="AL8" s="77">
        <v>0.083</v>
      </c>
      <c r="AM8" s="77">
        <v>0.086</v>
      </c>
      <c r="AO8" s="77">
        <v>0.055</v>
      </c>
      <c r="AP8" s="77">
        <v>0.075</v>
      </c>
      <c r="AR8" s="84">
        <v>0.8</v>
      </c>
      <c r="AT8" s="77">
        <v>0.027</v>
      </c>
      <c r="AU8" s="77">
        <v>0.061</v>
      </c>
      <c r="AV8" s="77">
        <v>0.029</v>
      </c>
      <c r="AY8" s="77">
        <v>0.051</v>
      </c>
      <c r="AZ8" s="77">
        <v>0.041</v>
      </c>
      <c r="BA8" s="77">
        <v>0.017</v>
      </c>
      <c r="BC8" s="84">
        <v>0.8</v>
      </c>
      <c r="BD8" s="77">
        <v>0.056</v>
      </c>
      <c r="BE8" s="77">
        <v>0.026</v>
      </c>
      <c r="BF8" s="77">
        <v>0.034</v>
      </c>
      <c r="BG8" s="77">
        <v>0.039</v>
      </c>
      <c r="BH8" s="77">
        <v>0.032</v>
      </c>
      <c r="BI8" s="77">
        <v>0.045</v>
      </c>
      <c r="BJ8" s="77">
        <v>0.045</v>
      </c>
      <c r="BK8" s="77">
        <v>0.032</v>
      </c>
      <c r="BL8" s="77">
        <v>0.029</v>
      </c>
      <c r="BN8" s="84">
        <v>0.8</v>
      </c>
      <c r="BO8" s="77">
        <v>0.023</v>
      </c>
      <c r="BP8" s="77">
        <v>0.011</v>
      </c>
      <c r="BQ8" s="77">
        <v>0.02</v>
      </c>
      <c r="BR8" s="77">
        <v>0.016</v>
      </c>
      <c r="BS8" s="77">
        <v>0.009</v>
      </c>
      <c r="BT8" s="77">
        <v>0.015</v>
      </c>
      <c r="BU8" s="77">
        <v>0.022</v>
      </c>
      <c r="BV8" s="77">
        <v>0.015</v>
      </c>
      <c r="BW8" s="77">
        <v>0.01</v>
      </c>
      <c r="BY8" s="84">
        <v>0.8</v>
      </c>
      <c r="BZ8" s="77">
        <v>0.056</v>
      </c>
      <c r="CA8" s="77">
        <v>0.041</v>
      </c>
      <c r="CB8" s="77">
        <v>0.045</v>
      </c>
      <c r="CC8" s="77">
        <v>0.048</v>
      </c>
      <c r="CD8" s="77">
        <v>0.044</v>
      </c>
      <c r="CE8" s="77">
        <v>0.051</v>
      </c>
      <c r="CF8" s="77">
        <v>0.051</v>
      </c>
      <c r="CG8" s="77">
        <v>0.044</v>
      </c>
      <c r="CH8" s="77">
        <v>0.042</v>
      </c>
      <c r="CJ8" s="84">
        <v>0.8</v>
      </c>
      <c r="CK8" s="77">
        <v>0.023</v>
      </c>
      <c r="CL8" s="77">
        <v>0.017</v>
      </c>
      <c r="CM8" s="77">
        <v>0.022</v>
      </c>
      <c r="CN8" s="77">
        <v>0.02</v>
      </c>
      <c r="CO8" s="77">
        <v>0.016</v>
      </c>
      <c r="CP8" s="77">
        <v>0.019</v>
      </c>
      <c r="CQ8" s="77">
        <v>0.023</v>
      </c>
      <c r="CR8" s="77">
        <v>0.019</v>
      </c>
      <c r="CS8" s="77">
        <v>0.017</v>
      </c>
      <c r="CU8" s="84">
        <v>0.8</v>
      </c>
      <c r="CV8" s="84">
        <v>0.71</v>
      </c>
      <c r="CW8" s="84">
        <v>0.71</v>
      </c>
      <c r="CX8" s="84">
        <v>0.33</v>
      </c>
      <c r="CY8" s="84">
        <v>0.71</v>
      </c>
      <c r="CZ8" s="84">
        <v>0.92</v>
      </c>
      <c r="DA8" s="84">
        <v>0.86</v>
      </c>
      <c r="DB8" s="84">
        <v>0.49</v>
      </c>
      <c r="DC8" s="84">
        <v>0.55</v>
      </c>
      <c r="DD8" s="84">
        <v>0.83</v>
      </c>
      <c r="DF8" s="84">
        <v>0.8</v>
      </c>
      <c r="DG8" s="84">
        <v>0.29</v>
      </c>
      <c r="DH8" s="84">
        <v>0.29</v>
      </c>
      <c r="DI8" s="84">
        <v>0.67</v>
      </c>
      <c r="DJ8" s="84">
        <v>0.29</v>
      </c>
      <c r="DK8" s="84">
        <v>0.08</v>
      </c>
      <c r="DL8" s="84">
        <v>0.14</v>
      </c>
      <c r="DM8" s="84">
        <v>0.51</v>
      </c>
      <c r="DN8" s="84">
        <v>0.45</v>
      </c>
      <c r="DO8" s="84">
        <v>0.17</v>
      </c>
    </row>
    <row r="9" spans="2:119" ht="23.25">
      <c r="B9" s="83" t="s">
        <v>44</v>
      </c>
      <c r="C9" s="78" t="s">
        <v>37</v>
      </c>
      <c r="D9" s="79" t="s">
        <v>49</v>
      </c>
      <c r="E9" s="86">
        <f>0.0018*42/50</f>
        <v>0.001512</v>
      </c>
      <c r="P9" s="88" t="s">
        <v>94</v>
      </c>
      <c r="Q9" s="3">
        <v>1.4</v>
      </c>
      <c r="X9" s="81">
        <v>20</v>
      </c>
      <c r="Y9" s="77">
        <f t="shared" si="0"/>
        <v>3.141592653589793</v>
      </c>
      <c r="AA9" s="89">
        <f>0.75*0.85*$AD$5*$E$3/AA7*6117/(6117+AA7)</f>
        <v>0.03405328405688622</v>
      </c>
      <c r="AB9" s="89">
        <f>0.75*0.85*$AD$5*$E$3/AB7*6117/(6117+AB7)</f>
        <v>0.03405328405688622</v>
      </c>
      <c r="AC9" s="89">
        <f>0.75*0.85*$AD$5*$E$3/AC7*6117/(6117+AC7)</f>
        <v>0.025449759378084896</v>
      </c>
      <c r="AG9" s="84">
        <v>0.85</v>
      </c>
      <c r="AI9" s="77">
        <v>0.06</v>
      </c>
      <c r="AK9" s="77">
        <v>0.066</v>
      </c>
      <c r="AL9" s="77">
        <v>0.082</v>
      </c>
      <c r="AM9" s="77">
        <v>0.083</v>
      </c>
      <c r="AO9" s="77">
        <v>0.049</v>
      </c>
      <c r="AP9" s="77">
        <v>0.072</v>
      </c>
      <c r="AR9" s="84">
        <v>0.85</v>
      </c>
      <c r="AT9" s="77">
        <v>0.031</v>
      </c>
      <c r="AU9" s="77">
        <v>0.065</v>
      </c>
      <c r="AV9" s="77">
        <v>0.034</v>
      </c>
      <c r="AY9" s="77">
        <v>0.057</v>
      </c>
      <c r="AZ9" s="77">
        <v>0.046</v>
      </c>
      <c r="BA9" s="77">
        <v>0.021</v>
      </c>
      <c r="BC9" s="84">
        <v>0.85</v>
      </c>
      <c r="BD9" s="77">
        <v>0.05</v>
      </c>
      <c r="BE9" s="77">
        <v>0.024</v>
      </c>
      <c r="BF9" s="77">
        <v>0.029</v>
      </c>
      <c r="BG9" s="77">
        <v>0.036</v>
      </c>
      <c r="BH9" s="77">
        <v>0.031</v>
      </c>
      <c r="BI9" s="77">
        <v>0.042</v>
      </c>
      <c r="BJ9" s="77">
        <v>0.04</v>
      </c>
      <c r="BK9" s="77">
        <v>0.029</v>
      </c>
      <c r="BL9" s="77">
        <v>0.028</v>
      </c>
      <c r="BN9" s="84">
        <v>0.85</v>
      </c>
      <c r="BO9" s="77">
        <v>0.026</v>
      </c>
      <c r="BP9" s="77">
        <v>0.012</v>
      </c>
      <c r="BQ9" s="77">
        <v>0.022</v>
      </c>
      <c r="BR9" s="77">
        <v>0.019</v>
      </c>
      <c r="BS9" s="77">
        <v>0.011</v>
      </c>
      <c r="BT9" s="77">
        <v>0.017</v>
      </c>
      <c r="BU9" s="77">
        <v>0.025</v>
      </c>
      <c r="BV9" s="77">
        <v>0.017</v>
      </c>
      <c r="BW9" s="77">
        <v>0.013</v>
      </c>
      <c r="BY9" s="84">
        <v>0.85</v>
      </c>
      <c r="BZ9" s="77">
        <v>0.05</v>
      </c>
      <c r="CA9" s="77">
        <v>0.037</v>
      </c>
      <c r="CB9" s="77">
        <v>0.04</v>
      </c>
      <c r="CC9" s="77">
        <v>0.043</v>
      </c>
      <c r="CD9" s="77">
        <v>0.041</v>
      </c>
      <c r="CE9" s="77">
        <v>0.046</v>
      </c>
      <c r="CF9" s="77">
        <v>0.045</v>
      </c>
      <c r="CG9" s="77">
        <v>0.04</v>
      </c>
      <c r="CH9" s="77">
        <v>0.039</v>
      </c>
      <c r="CJ9" s="84">
        <v>0.85</v>
      </c>
      <c r="CK9" s="77">
        <v>0.026</v>
      </c>
      <c r="CL9" s="77">
        <v>0.019</v>
      </c>
      <c r="CM9" s="77">
        <v>0.024</v>
      </c>
      <c r="CN9" s="77">
        <v>0.023</v>
      </c>
      <c r="CO9" s="77">
        <v>0.019</v>
      </c>
      <c r="CP9" s="77">
        <v>0.022</v>
      </c>
      <c r="CQ9" s="77">
        <v>0.026</v>
      </c>
      <c r="CR9" s="77">
        <v>0.022</v>
      </c>
      <c r="CS9" s="77">
        <v>0.02</v>
      </c>
      <c r="CU9" s="84">
        <v>0.85</v>
      </c>
      <c r="CV9" s="84">
        <v>0.66</v>
      </c>
      <c r="CW9" s="84">
        <v>0.66</v>
      </c>
      <c r="CX9" s="84">
        <v>0.28</v>
      </c>
      <c r="CY9" s="84">
        <v>0.66</v>
      </c>
      <c r="CZ9" s="84">
        <v>0.9</v>
      </c>
      <c r="DA9" s="84">
        <v>0.83</v>
      </c>
      <c r="DB9" s="84">
        <v>0.43</v>
      </c>
      <c r="DC9" s="84">
        <v>0.49</v>
      </c>
      <c r="DD9" s="84">
        <v>0.79</v>
      </c>
      <c r="DF9" s="84">
        <v>0.85</v>
      </c>
      <c r="DG9" s="84">
        <v>0.34</v>
      </c>
      <c r="DH9" s="84">
        <v>0.34</v>
      </c>
      <c r="DI9" s="84">
        <v>0.72</v>
      </c>
      <c r="DJ9" s="84">
        <v>0.34</v>
      </c>
      <c r="DK9" s="84">
        <v>0.1</v>
      </c>
      <c r="DL9" s="84">
        <v>0.17</v>
      </c>
      <c r="DM9" s="84">
        <v>0.57</v>
      </c>
      <c r="DN9" s="84">
        <v>0.51</v>
      </c>
      <c r="DO9" s="84">
        <v>0.21</v>
      </c>
    </row>
    <row r="10" spans="4:119" ht="30.75">
      <c r="D10" s="79" t="s">
        <v>91</v>
      </c>
      <c r="E10" s="90" t="s">
        <v>109</v>
      </c>
      <c r="I10" s="79" t="s">
        <v>89</v>
      </c>
      <c r="J10" s="4">
        <v>0.025</v>
      </c>
      <c r="K10" s="83" t="s">
        <v>48</v>
      </c>
      <c r="L10" s="83"/>
      <c r="P10" s="88" t="s">
        <v>95</v>
      </c>
      <c r="Q10" s="3">
        <v>1.7</v>
      </c>
      <c r="X10" s="81">
        <v>25</v>
      </c>
      <c r="Y10" s="77">
        <f t="shared" si="0"/>
        <v>4.908738521234052</v>
      </c>
      <c r="AA10" s="78" t="s">
        <v>45</v>
      </c>
      <c r="AB10" s="78" t="s">
        <v>46</v>
      </c>
      <c r="AC10" s="78" t="s">
        <v>47</v>
      </c>
      <c r="AG10" s="84">
        <v>0.9</v>
      </c>
      <c r="AI10" s="77">
        <v>0.055</v>
      </c>
      <c r="AK10" s="77">
        <v>0.06</v>
      </c>
      <c r="AL10" s="77">
        <v>0.08</v>
      </c>
      <c r="AM10" s="77">
        <v>0.079</v>
      </c>
      <c r="AO10" s="77">
        <v>0.043</v>
      </c>
      <c r="AP10" s="77">
        <v>0.068</v>
      </c>
      <c r="AR10" s="84">
        <v>0.9</v>
      </c>
      <c r="AT10" s="77">
        <v>0.037</v>
      </c>
      <c r="AU10" s="77">
        <v>0.07</v>
      </c>
      <c r="AV10" s="77">
        <v>0.04</v>
      </c>
      <c r="AY10" s="77">
        <v>0.062</v>
      </c>
      <c r="AZ10" s="77">
        <v>0.052</v>
      </c>
      <c r="BA10" s="77">
        <v>0.025</v>
      </c>
      <c r="BC10" s="84">
        <v>0.9</v>
      </c>
      <c r="BD10" s="77">
        <v>0.045</v>
      </c>
      <c r="BE10" s="77">
        <v>0.022</v>
      </c>
      <c r="BF10" s="77">
        <v>0.025</v>
      </c>
      <c r="BG10" s="77">
        <v>0.033</v>
      </c>
      <c r="BH10" s="77">
        <v>0.029</v>
      </c>
      <c r="BI10" s="77">
        <v>0.039</v>
      </c>
      <c r="BJ10" s="77">
        <v>0.035</v>
      </c>
      <c r="BK10" s="77">
        <v>0.025</v>
      </c>
      <c r="BL10" s="77">
        <v>0.026</v>
      </c>
      <c r="BN10" s="84">
        <v>0.9</v>
      </c>
      <c r="BO10" s="77">
        <v>0.029</v>
      </c>
      <c r="BP10" s="77">
        <v>0.014</v>
      </c>
      <c r="BQ10" s="77">
        <v>0.024</v>
      </c>
      <c r="BR10" s="77">
        <v>0.022</v>
      </c>
      <c r="BS10" s="77">
        <v>0.013</v>
      </c>
      <c r="BT10" s="77">
        <v>0.021</v>
      </c>
      <c r="BU10" s="77">
        <v>0.028</v>
      </c>
      <c r="BV10" s="77">
        <v>0.019</v>
      </c>
      <c r="BW10" s="77">
        <v>0.015</v>
      </c>
      <c r="BY10" s="84">
        <v>0.9</v>
      </c>
      <c r="BZ10" s="77">
        <v>0.045</v>
      </c>
      <c r="CA10" s="77">
        <v>0.034</v>
      </c>
      <c r="CB10" s="77">
        <v>0.035</v>
      </c>
      <c r="CC10" s="77">
        <v>0.039</v>
      </c>
      <c r="CD10" s="77">
        <v>0.037</v>
      </c>
      <c r="CE10" s="77">
        <v>0.042</v>
      </c>
      <c r="CF10" s="77">
        <v>0.04</v>
      </c>
      <c r="CG10" s="77">
        <v>0.035</v>
      </c>
      <c r="CH10" s="77">
        <v>0.036</v>
      </c>
      <c r="CJ10" s="84">
        <v>0.9</v>
      </c>
      <c r="CK10" s="77">
        <v>0.029</v>
      </c>
      <c r="CL10" s="77">
        <v>0.022</v>
      </c>
      <c r="CM10" s="77">
        <v>0.027</v>
      </c>
      <c r="CN10" s="77">
        <v>0.026</v>
      </c>
      <c r="CO10" s="77">
        <v>0.021</v>
      </c>
      <c r="CP10" s="77">
        <v>0.025</v>
      </c>
      <c r="CQ10" s="77">
        <v>0.029</v>
      </c>
      <c r="CR10" s="77">
        <v>0.024</v>
      </c>
      <c r="CS10" s="77">
        <v>0.022</v>
      </c>
      <c r="CU10" s="84">
        <v>0.9</v>
      </c>
      <c r="CV10" s="84">
        <v>0.6</v>
      </c>
      <c r="CW10" s="84">
        <v>0.6</v>
      </c>
      <c r="CX10" s="84">
        <v>0.23</v>
      </c>
      <c r="CY10" s="84">
        <v>0.6</v>
      </c>
      <c r="CZ10" s="84">
        <v>0.88</v>
      </c>
      <c r="DA10" s="84">
        <v>0.79</v>
      </c>
      <c r="DB10" s="84">
        <v>0.38</v>
      </c>
      <c r="DC10" s="84">
        <v>0.43</v>
      </c>
      <c r="DD10" s="84">
        <v>0.75</v>
      </c>
      <c r="DF10" s="84">
        <v>0.9</v>
      </c>
      <c r="DG10" s="84">
        <v>0.4</v>
      </c>
      <c r="DH10" s="84">
        <v>0.4</v>
      </c>
      <c r="DI10" s="84">
        <v>0.77</v>
      </c>
      <c r="DJ10" s="84">
        <v>0.4</v>
      </c>
      <c r="DK10" s="84">
        <v>0.12</v>
      </c>
      <c r="DL10" s="84">
        <v>0.21</v>
      </c>
      <c r="DM10" s="84">
        <v>0.62</v>
      </c>
      <c r="DN10" s="84">
        <v>0.57</v>
      </c>
      <c r="DO10" s="84">
        <v>0.25</v>
      </c>
    </row>
    <row r="11" spans="1:119" ht="24" customHeight="1">
      <c r="A11" s="131" t="s">
        <v>84</v>
      </c>
      <c r="B11" s="132"/>
      <c r="C11" s="133" t="s">
        <v>115</v>
      </c>
      <c r="D11" s="132"/>
      <c r="E11" s="93" t="s">
        <v>83</v>
      </c>
      <c r="F11" s="93" t="s">
        <v>81</v>
      </c>
      <c r="G11" s="94"/>
      <c r="H11" s="94"/>
      <c r="I11" s="92" t="s">
        <v>118</v>
      </c>
      <c r="J11" s="95"/>
      <c r="K11" s="92"/>
      <c r="L11" s="96"/>
      <c r="M11" s="97"/>
      <c r="N11" s="94"/>
      <c r="O11" s="92" t="s">
        <v>86</v>
      </c>
      <c r="P11" s="95"/>
      <c r="Q11" s="91" t="s">
        <v>51</v>
      </c>
      <c r="R11" s="94"/>
      <c r="S11" s="92" t="s">
        <v>87</v>
      </c>
      <c r="T11" s="95"/>
      <c r="U11" s="83" t="s">
        <v>61</v>
      </c>
      <c r="V11" s="78" t="s">
        <v>62</v>
      </c>
      <c r="W11" s="78" t="s">
        <v>63</v>
      </c>
      <c r="X11" s="81">
        <v>28</v>
      </c>
      <c r="Y11" s="77">
        <f t="shared" si="0"/>
        <v>6.157521601035993</v>
      </c>
      <c r="AA11" s="89">
        <f>VLOOKUP(IF(AA3="RB","SR","SD")&amp;FIXED(IF(AA7=3000,4000,AA7)/100,0,TRUE),$B$7:$E$9,4)</f>
        <v>0.0025</v>
      </c>
      <c r="AB11" s="89">
        <f>VLOOKUP(IF(AB3="RB","SR","SD")&amp;FIXED(IF(AB7=3000,4000,AB7)/100,0,TRUE),$B$7:$E$9,4)</f>
        <v>0.0025</v>
      </c>
      <c r="AC11" s="89">
        <f>VLOOKUP(IF(AC3="RB","SR","SD")&amp;FIXED(IF(AC7=3000,4000,AC7)/100,0,TRUE),$B$7:$E$9,4)</f>
        <v>0.002</v>
      </c>
      <c r="AG11" s="84">
        <v>0.95</v>
      </c>
      <c r="AI11" s="77">
        <v>0.05</v>
      </c>
      <c r="AK11" s="77">
        <v>0.055</v>
      </c>
      <c r="AL11" s="77">
        <v>0.079</v>
      </c>
      <c r="AM11" s="77">
        <v>0.075</v>
      </c>
      <c r="AO11" s="77">
        <v>0.038</v>
      </c>
      <c r="AP11" s="77">
        <v>0.065</v>
      </c>
      <c r="AR11" s="84">
        <v>0.95</v>
      </c>
      <c r="AT11" s="77">
        <v>0.041</v>
      </c>
      <c r="AU11" s="77">
        <v>0.072</v>
      </c>
      <c r="AV11" s="77">
        <v>0.045</v>
      </c>
      <c r="AY11" s="77">
        <v>0.067</v>
      </c>
      <c r="AZ11" s="77">
        <v>0.056</v>
      </c>
      <c r="BA11" s="77">
        <v>0.029</v>
      </c>
      <c r="BC11" s="84">
        <v>0.95</v>
      </c>
      <c r="BD11" s="77">
        <v>0.04</v>
      </c>
      <c r="BE11" s="77">
        <v>0.02</v>
      </c>
      <c r="BF11" s="77">
        <v>0.021</v>
      </c>
      <c r="BG11" s="77">
        <v>0.03</v>
      </c>
      <c r="BH11" s="77">
        <v>0.028</v>
      </c>
      <c r="BI11" s="77">
        <v>0.036</v>
      </c>
      <c r="BJ11" s="77">
        <v>0.031</v>
      </c>
      <c r="BK11" s="77">
        <v>0.022</v>
      </c>
      <c r="BL11" s="77">
        <v>0.024</v>
      </c>
      <c r="BN11" s="84">
        <v>0.95</v>
      </c>
      <c r="BO11" s="77">
        <v>0.033</v>
      </c>
      <c r="BP11" s="77">
        <v>0.016</v>
      </c>
      <c r="BQ11" s="77">
        <v>0.025</v>
      </c>
      <c r="BR11" s="77">
        <v>0.024</v>
      </c>
      <c r="BS11" s="77">
        <v>0.015</v>
      </c>
      <c r="BT11" s="77">
        <v>0.024</v>
      </c>
      <c r="BU11" s="77">
        <v>0.031</v>
      </c>
      <c r="BV11" s="77">
        <v>0.021</v>
      </c>
      <c r="BW11" s="77">
        <v>0.017</v>
      </c>
      <c r="BY11" s="84">
        <v>0.95</v>
      </c>
      <c r="BZ11" s="77">
        <v>0.04</v>
      </c>
      <c r="CA11" s="77">
        <v>0.03</v>
      </c>
      <c r="CB11" s="77">
        <v>0.031</v>
      </c>
      <c r="CC11" s="77">
        <v>0.035</v>
      </c>
      <c r="CD11" s="77">
        <v>0.034</v>
      </c>
      <c r="CE11" s="77">
        <v>0.038</v>
      </c>
      <c r="CF11" s="77">
        <v>0.036</v>
      </c>
      <c r="CG11" s="77">
        <v>0.031</v>
      </c>
      <c r="CH11" s="77">
        <v>0.032</v>
      </c>
      <c r="CJ11" s="84">
        <v>0.95</v>
      </c>
      <c r="CK11" s="77">
        <v>0.033</v>
      </c>
      <c r="CL11" s="77">
        <v>0.025</v>
      </c>
      <c r="CM11" s="77">
        <v>0.029</v>
      </c>
      <c r="CN11" s="77">
        <v>0.029</v>
      </c>
      <c r="CO11" s="77">
        <v>0.024</v>
      </c>
      <c r="CP11" s="77">
        <v>0.029</v>
      </c>
      <c r="CQ11" s="77">
        <v>0.032</v>
      </c>
      <c r="CR11" s="77">
        <v>0.027</v>
      </c>
      <c r="CS11" s="77">
        <v>0.025</v>
      </c>
      <c r="CU11" s="84">
        <v>0.95</v>
      </c>
      <c r="CV11" s="84">
        <v>0.55</v>
      </c>
      <c r="CW11" s="84">
        <v>0.55</v>
      </c>
      <c r="CX11" s="84">
        <v>0.2</v>
      </c>
      <c r="CY11" s="84">
        <v>0.55</v>
      </c>
      <c r="CZ11" s="84">
        <v>0.86</v>
      </c>
      <c r="DA11" s="84">
        <v>0.75</v>
      </c>
      <c r="DB11" s="84">
        <v>0.33</v>
      </c>
      <c r="DC11" s="84">
        <v>0.38</v>
      </c>
      <c r="DD11" s="84">
        <v>0.71</v>
      </c>
      <c r="DF11" s="84">
        <v>0.95</v>
      </c>
      <c r="DG11" s="84">
        <v>0.45</v>
      </c>
      <c r="DH11" s="84">
        <v>0.45</v>
      </c>
      <c r="DI11" s="84">
        <v>0.8</v>
      </c>
      <c r="DJ11" s="84">
        <v>0.45</v>
      </c>
      <c r="DK11" s="84">
        <v>0.14</v>
      </c>
      <c r="DL11" s="84">
        <v>0.25</v>
      </c>
      <c r="DM11" s="84">
        <v>0.67</v>
      </c>
      <c r="DN11" s="84">
        <v>0.62</v>
      </c>
      <c r="DO11" s="84">
        <v>0.29</v>
      </c>
    </row>
    <row r="12" spans="1:119" ht="23.25">
      <c r="A12" s="98"/>
      <c r="B12" s="99"/>
      <c r="C12" s="5" t="s">
        <v>116</v>
      </c>
      <c r="D12" s="100" t="s">
        <v>117</v>
      </c>
      <c r="E12" s="101" t="s">
        <v>56</v>
      </c>
      <c r="F12" s="101" t="s">
        <v>82</v>
      </c>
      <c r="G12" s="98" t="s">
        <v>110</v>
      </c>
      <c r="H12" s="98" t="s">
        <v>119</v>
      </c>
      <c r="I12" s="5" t="s">
        <v>120</v>
      </c>
      <c r="J12" s="100" t="s">
        <v>85</v>
      </c>
      <c r="K12" s="102" t="s">
        <v>50</v>
      </c>
      <c r="L12" s="141" t="s">
        <v>96</v>
      </c>
      <c r="M12" s="142"/>
      <c r="N12" s="134" t="s">
        <v>80</v>
      </c>
      <c r="O12" s="135"/>
      <c r="P12" s="100" t="s">
        <v>59</v>
      </c>
      <c r="Q12" s="103"/>
      <c r="R12" s="104"/>
      <c r="S12" s="105"/>
      <c r="T12" s="103"/>
      <c r="U12" s="78" t="s">
        <v>69</v>
      </c>
      <c r="V12" s="78" t="s">
        <v>70</v>
      </c>
      <c r="W12" s="78" t="s">
        <v>71</v>
      </c>
      <c r="AG12" s="84">
        <v>1</v>
      </c>
      <c r="AI12" s="77">
        <v>0.045</v>
      </c>
      <c r="AK12" s="77">
        <v>0.05</v>
      </c>
      <c r="AL12" s="77">
        <v>0.075</v>
      </c>
      <c r="AM12" s="77">
        <v>0.071</v>
      </c>
      <c r="AO12" s="77">
        <v>0.033</v>
      </c>
      <c r="AP12" s="77">
        <v>0.061</v>
      </c>
      <c r="AR12" s="84">
        <v>1</v>
      </c>
      <c r="AT12" s="77">
        <v>0.045</v>
      </c>
      <c r="AU12" s="77">
        <v>0.076</v>
      </c>
      <c r="AV12" s="77">
        <v>0.05</v>
      </c>
      <c r="AY12" s="77">
        <v>0.071</v>
      </c>
      <c r="AZ12" s="77">
        <v>0.061</v>
      </c>
      <c r="BA12" s="77">
        <v>0.033</v>
      </c>
      <c r="BC12" s="84">
        <v>1</v>
      </c>
      <c r="BD12" s="77">
        <v>0.036</v>
      </c>
      <c r="BE12" s="77">
        <v>0.018</v>
      </c>
      <c r="BF12" s="77">
        <v>0.018</v>
      </c>
      <c r="BG12" s="77">
        <v>0.027</v>
      </c>
      <c r="BH12" s="77">
        <v>0.027</v>
      </c>
      <c r="BI12" s="77">
        <v>0.033</v>
      </c>
      <c r="BJ12" s="77">
        <v>0.027</v>
      </c>
      <c r="BK12" s="77">
        <v>0.02</v>
      </c>
      <c r="BL12" s="77">
        <v>0.023</v>
      </c>
      <c r="BN12" s="84">
        <v>1</v>
      </c>
      <c r="BO12" s="77">
        <v>0.036</v>
      </c>
      <c r="BP12" s="77">
        <v>0.018</v>
      </c>
      <c r="BQ12" s="77">
        <v>0.027</v>
      </c>
      <c r="BR12" s="77">
        <v>0.027</v>
      </c>
      <c r="BS12" s="77">
        <v>0.018</v>
      </c>
      <c r="BT12" s="77">
        <v>0.027</v>
      </c>
      <c r="BU12" s="77">
        <v>0.033</v>
      </c>
      <c r="BV12" s="77">
        <v>0.023</v>
      </c>
      <c r="BW12" s="77">
        <v>0.02</v>
      </c>
      <c r="BY12" s="84">
        <v>1</v>
      </c>
      <c r="BZ12" s="77">
        <v>0.036</v>
      </c>
      <c r="CA12" s="77">
        <v>0.027</v>
      </c>
      <c r="CB12" s="77">
        <v>0.027</v>
      </c>
      <c r="CC12" s="77">
        <v>0.032</v>
      </c>
      <c r="CD12" s="77">
        <v>0.032</v>
      </c>
      <c r="CE12" s="77">
        <v>0.035</v>
      </c>
      <c r="CF12" s="77">
        <v>0.032</v>
      </c>
      <c r="CG12" s="77">
        <v>0.028</v>
      </c>
      <c r="CH12" s="77">
        <v>0.03</v>
      </c>
      <c r="CJ12" s="84">
        <v>1</v>
      </c>
      <c r="CK12" s="77">
        <v>0.036</v>
      </c>
      <c r="CL12" s="77">
        <v>0.027</v>
      </c>
      <c r="CM12" s="77">
        <v>0.032</v>
      </c>
      <c r="CN12" s="77">
        <v>0.032</v>
      </c>
      <c r="CO12" s="77">
        <v>0.027</v>
      </c>
      <c r="CP12" s="77">
        <v>0.032</v>
      </c>
      <c r="CQ12" s="77">
        <v>0.035</v>
      </c>
      <c r="CR12" s="77">
        <v>0.03</v>
      </c>
      <c r="CS12" s="77">
        <v>0.028</v>
      </c>
      <c r="CU12" s="84">
        <v>1</v>
      </c>
      <c r="CV12" s="84">
        <v>0.5</v>
      </c>
      <c r="CW12" s="84">
        <v>0.5</v>
      </c>
      <c r="CX12" s="84">
        <v>0.17</v>
      </c>
      <c r="CY12" s="84">
        <v>0.5</v>
      </c>
      <c r="CZ12" s="84">
        <v>0.83</v>
      </c>
      <c r="DA12" s="84">
        <v>0.71</v>
      </c>
      <c r="DB12" s="84">
        <v>0.29</v>
      </c>
      <c r="DC12" s="84">
        <v>0.33</v>
      </c>
      <c r="DD12" s="84">
        <v>0.67</v>
      </c>
      <c r="DF12" s="84">
        <v>1</v>
      </c>
      <c r="DG12" s="84">
        <v>0.5</v>
      </c>
      <c r="DH12" s="84">
        <v>0.5</v>
      </c>
      <c r="DI12" s="84">
        <v>0.83</v>
      </c>
      <c r="DJ12" s="84">
        <v>0.5</v>
      </c>
      <c r="DK12" s="84">
        <v>0.17</v>
      </c>
      <c r="DL12" s="84">
        <v>0.29</v>
      </c>
      <c r="DM12" s="84">
        <v>0.71</v>
      </c>
      <c r="DN12" s="84">
        <v>0.67</v>
      </c>
      <c r="DO12" s="84">
        <v>0.33</v>
      </c>
    </row>
    <row r="13" spans="1:26" ht="25.5">
      <c r="A13" s="106" t="s">
        <v>52</v>
      </c>
      <c r="B13" s="107" t="s">
        <v>53</v>
      </c>
      <c r="C13" s="8" t="s">
        <v>54</v>
      </c>
      <c r="D13" s="108" t="s">
        <v>55</v>
      </c>
      <c r="E13" s="109" t="s">
        <v>60</v>
      </c>
      <c r="F13" s="110" t="s">
        <v>88</v>
      </c>
      <c r="G13" s="111"/>
      <c r="H13" s="112"/>
      <c r="I13" s="113"/>
      <c r="J13" s="114"/>
      <c r="K13" s="115"/>
      <c r="L13" s="116"/>
      <c r="M13" s="117"/>
      <c r="N13" s="106" t="s">
        <v>57</v>
      </c>
      <c r="O13" s="8" t="s">
        <v>58</v>
      </c>
      <c r="P13" s="108" t="s">
        <v>64</v>
      </c>
      <c r="Q13" s="108" t="s">
        <v>65</v>
      </c>
      <c r="R13" s="60" t="s">
        <v>66</v>
      </c>
      <c r="S13" s="61" t="s">
        <v>67</v>
      </c>
      <c r="T13" s="62" t="s">
        <v>68</v>
      </c>
      <c r="U13" s="78" t="s">
        <v>72</v>
      </c>
      <c r="V13" s="78" t="s">
        <v>73</v>
      </c>
      <c r="W13" s="78" t="s">
        <v>74</v>
      </c>
      <c r="Z13" s="83"/>
    </row>
    <row r="14" spans="1:26" ht="23.25">
      <c r="A14" s="52" t="s">
        <v>75</v>
      </c>
      <c r="B14" s="53">
        <v>1</v>
      </c>
      <c r="C14" s="54">
        <v>4</v>
      </c>
      <c r="D14" s="55">
        <v>5</v>
      </c>
      <c r="E14" s="56">
        <v>0.1</v>
      </c>
      <c r="F14" s="57">
        <v>350</v>
      </c>
      <c r="G14" s="58">
        <f>IF(E14&lt;0.08,"t &lt; 0.08",IF(K14&lt;0.5,"1WSLAB",IF(C14&lt;=D14,IF((C14+D14)/90&lt;E14,"OK",(C14+D14)/90),"A&gt;B ?")))</f>
        <v>0.1</v>
      </c>
      <c r="H14" s="59">
        <f>$Q$9*2400*E14</f>
        <v>336</v>
      </c>
      <c r="I14" s="59">
        <f>$Q$10*F14</f>
        <v>595</v>
      </c>
      <c r="J14" s="59">
        <f>H14+I14</f>
        <v>931</v>
      </c>
      <c r="K14" s="51">
        <f>C14/D14</f>
        <v>0.8</v>
      </c>
      <c r="L14" s="139" t="s">
        <v>113</v>
      </c>
      <c r="M14" s="118" t="s">
        <v>103</v>
      </c>
      <c r="N14" s="5" t="s">
        <v>79</v>
      </c>
      <c r="O14" s="5" t="s">
        <v>79</v>
      </c>
      <c r="P14" s="6" t="str">
        <f>IF(OR(OR(OR(B14=2,B14=5),B14=6),B14=9),VLOOKUP(K14,$AG$2:$AP$12,B14+1)+(K14-VLOOKUP(K14,$AG$2:$AP$12,1))*(VLOOKUP(K14+0.05,$AG$2:$AP$12,B14+1)-VLOOKUP(K14,$AG$2:$AP$12,B14+1))/0.05,"-")</f>
        <v>-</v>
      </c>
      <c r="Q14" s="7">
        <f>IF(P14&lt;&gt;0,P14*J14*C14^2,Q15/3)</f>
        <v>278.0586666666666</v>
      </c>
      <c r="R14" s="72">
        <f>IF(0.85*$E$3/$AA$7*(1-SQRT(1-2*Q14/(0.85*0.9*$E$3*U15^2*10000)))&gt;$AA$9,"Double",MIN(VLOOKUP($AA$5,$X$2:$Y$11,2)/(MAX(0.85*$E$3/$AA$7*(1-SQRT(1-2*Q14/(0.85*0.9*$E$3*U15^2*10000)))*U15,$AA$11*E14)*10000),3*E14))</f>
        <v>0.11309733552923255</v>
      </c>
      <c r="S14" s="73">
        <f>IF(0.85*$E$3/$AB$7*(1-SQRT(1-2*Q14/(0.85*0.9*$E$3*V15^2*10000)))&gt;$AB$9,"Double",MIN(VLOOKUP($AB$5,$X$2:$Y$11,2)/(MAX(0.85*$E$3/$AB$7*(1-SQRT(1-2*Q14/(0.85*0.9*$E$3*V15^2*10000)))*V15,$AB$11*E14)*10000),3*E14))</f>
        <v>0.2544690049407733</v>
      </c>
      <c r="T14" s="74">
        <f>IF(0.85*$E$3/$AC$7*(1-SQRT(1-2*Q14/(0.85*0.9*$E$3*W15^2*10000)))&gt;$AC$9,"Double",MIN(VLOOKUP($AC$5,$X$2:$Y$11,2)/(MAX(0.85*$E$3/$AC$7*(1-SQRT(1-2*Q14/(0.85*0.9*$E$3*W15^2*10000)))*W15,$AC$11*E14)*10000),3*E14))</f>
        <v>0.30000000000000004</v>
      </c>
      <c r="Z14" s="83"/>
    </row>
    <row r="15" spans="1:23" ht="23.25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75">
        <v>9</v>
      </c>
      <c r="L15" s="137"/>
      <c r="M15" s="118" t="s">
        <v>107</v>
      </c>
      <c r="N15" s="6">
        <f>VLOOKUP(K14,$BC$2:$BL$12,B14+1)+(K14-VLOOKUP(K14,$BC$2:$BL$12,1))*(VLOOKUP(K14+0.05,$BC$2:$BL$12,B14+1)-VLOOKUP(K14,$BC$2:$BL$12,B14+1))/0.05</f>
        <v>0.056</v>
      </c>
      <c r="O15" s="6">
        <f>VLOOKUP(K14,$BY$2:$CH$12,B14+1)+(K14-VLOOKUP(K14,$BY$2:$CH$12,1))*(VLOOKUP(K14+0.05,$BY$2:$CH$12,B14+1)-VLOOKUP(K14,$BY$2:$CH$12,B14+1))/0.05</f>
        <v>0.056</v>
      </c>
      <c r="P15" s="5" t="s">
        <v>79</v>
      </c>
      <c r="Q15" s="7">
        <f>N15*H14*C14^2+O15*I14*C14^2</f>
        <v>834.1759999999999</v>
      </c>
      <c r="R15" s="63">
        <f>IF(0.85*$E$3/$AA$7*(1-SQRT(1-2*Q15/(0.85*0.9*$E$3*U15^2*10000)))&gt;$AA$9,"Double",MIN(VLOOKUP($AA$5,$X$2:$Y$11,2)/(MAX(0.85*$E$3/$AA$7*(1-SQRT(1-2*Q15/(0.85*0.9*$E$3*U15^2*10000)))*U15,$AA$11*E14)*10000),3*E14))</f>
        <v>0.04992600351557802</v>
      </c>
      <c r="S15" s="64">
        <f>IF(0.85*$E$3/$AB$7*(1-SQRT(1-2*Q15/(0.85*0.9*$E$3*V15^2*10000)))&gt;$AB$9,"Double",MIN(VLOOKUP($AB$5,$X$2:$Y$11,2)/(MAX(0.85*$E$3/$AB$7*(1-SQRT(1-2*Q15/(0.85*0.9*$E$3*V15^2*10000)))*V15,$AB$11*E14)*10000),3*E14))</f>
        <v>0.10971275514288106</v>
      </c>
      <c r="T15" s="65">
        <f>IF(0.85*$E$3/$AC$7*(1-SQRT(1-2*Q15/(0.85*0.9*$E$3*W15^2*10000)))&gt;$AC$9,"Double",MIN(VLOOKUP($AC$5,$X$2:$Y$11,2)/(MAX(0.85*$E$3/$AC$7*(1-SQRT(1-2*Q15/(0.85*0.9*$E$3*W15^2*10000)))*W15,$AC$11*E14)*10000),3*E14))</f>
        <v>0.23796486668995243</v>
      </c>
      <c r="U15" s="82">
        <f>E14-$J$10-$AA$5/2000</f>
        <v>0.07200000000000001</v>
      </c>
      <c r="V15" s="82">
        <f>E14-$J$10-$AB$5/2000</f>
        <v>0.07050000000000001</v>
      </c>
      <c r="W15" s="82">
        <f>E14-$J$10-$AC$5/2000</f>
        <v>0.069</v>
      </c>
    </row>
    <row r="16" spans="1:20" ht="23.25">
      <c r="A16" s="121"/>
      <c r="B16" s="122"/>
      <c r="C16" s="123"/>
      <c r="D16" s="120"/>
      <c r="E16" s="120"/>
      <c r="F16" s="120"/>
      <c r="G16" s="120"/>
      <c r="H16" s="120"/>
      <c r="I16" s="120"/>
      <c r="J16" s="120"/>
      <c r="K16" s="120"/>
      <c r="L16" s="140"/>
      <c r="M16" s="124" t="s">
        <v>104</v>
      </c>
      <c r="N16" s="18" t="s">
        <v>79</v>
      </c>
      <c r="O16" s="18" t="s">
        <v>79</v>
      </c>
      <c r="P16" s="19" t="str">
        <f>IF(OR(OR(OR(OR(B14=2,B14=4),B14=5),B14=8),B14=9),VLOOKUP(K14,$AG$2:$AP$12,B14+1)+(K14-VLOOKUP(K14,$AG$2:$AP$12,1))*(VLOOKUP(K14+0.05,$AG$2:$AP$12,B14+1)-VLOOKUP(K14,$AG$2:$AP$12,B14+1))/0.05,"-")</f>
        <v>-</v>
      </c>
      <c r="Q16" s="20">
        <f>IF(P16&lt;&gt;0,P16*J14*C14^2,Q15/3)</f>
        <v>278.0586666666666</v>
      </c>
      <c r="R16" s="66">
        <f>IF(0.85*$E$3/$AA$7*(1-SQRT(1-2*Q16/(0.85*0.9*$E$3*U15^2*10000)))&gt;$AA$9,"Double",MIN(VLOOKUP($AA$5,$X$2:$Y$11,2)/(MAX(0.85*$E$3/$AA$7*(1-SQRT(1-2*Q16/(0.85*0.9*$E$3*U15^2*10000)))*U15,$AA$11*E14)*10000),3*E14))</f>
        <v>0.11309733552923255</v>
      </c>
      <c r="S16" s="67">
        <f>IF(0.85*$E$3/$AB$7*(1-SQRT(1-2*Q16/(0.85*0.9*$E$3*V15^2*10000)))&gt;$AB$9,"Double",MIN(VLOOKUP($AB$5,$X$2:$Y$11,2)/(MAX(0.85*$E$3/$AB$7*(1-SQRT(1-2*Q16/(0.85*0.9*$E$3*V15^2*10000)))*V15,$AB$11*E14)*10000),3*E14))</f>
        <v>0.2544690049407733</v>
      </c>
      <c r="T16" s="68">
        <f>IF(0.85*$E$3/$AC$7*(1-SQRT(1-2*Q16/(0.85*0.9*$E$3*W15^2*10000)))&gt;$AC$9,"Double",MIN(VLOOKUP($AC$5,$X$2:$Y$11,2)/(MAX(0.85*$E$3/$AC$7*(1-SQRT(1-2*Q16/(0.85*0.9*$E$3*W15^2*10000)))*W15,$AC$11*E14)*10000),3*E14))</f>
        <v>0.30000000000000004</v>
      </c>
    </row>
    <row r="17" spans="1:20" ht="23.25">
      <c r="A17" s="121"/>
      <c r="B17" s="122"/>
      <c r="C17" s="123"/>
      <c r="D17" s="120"/>
      <c r="E17" s="120"/>
      <c r="F17" s="120"/>
      <c r="G17" s="120"/>
      <c r="H17" s="120"/>
      <c r="I17" s="120"/>
      <c r="J17" s="120"/>
      <c r="K17" s="120"/>
      <c r="L17" s="136" t="s">
        <v>114</v>
      </c>
      <c r="M17" s="118" t="s">
        <v>105</v>
      </c>
      <c r="N17" s="5" t="s">
        <v>79</v>
      </c>
      <c r="O17" s="5" t="s">
        <v>79</v>
      </c>
      <c r="P17" s="6" t="str">
        <f>IF(OR(OR(OR(OR(B14=2,B14=3),B14=4),B14=8),B14=9),VLOOKUP(K14,$AR$2:$BA$12,B14+1)+(K14-VLOOKUP(K14,$AR$2:$BA$12,1))*(VLOOKUP(K14+0.05,$AR$2:$BA$12,B14+1)-VLOOKUP(K14,$AR$2:$BA$12,B14+1))/0.05,"-")</f>
        <v>-</v>
      </c>
      <c r="Q17" s="7">
        <f>IF(P17&lt;&gt;0,P17*J14*D14^2,Q18/3)</f>
        <v>178.4416666666667</v>
      </c>
      <c r="R17" s="63">
        <f>IF(0.85*$E$3/$AA$7*(1-SQRT(1-2*Q17/(0.85*0.9*$E$3*U15^2*10000)))&gt;$AA$9,"Double",MIN(VLOOKUP($AA$5,$X$2:$Y$11,2)/(MAX(0.85*$E$3/$AA$7*(1-SQRT(1-2*Q17/(0.85*0.9*$E$3*U15^2*10000)))*U15,$AA$11*E14)*10000),3*E14))</f>
        <v>0.11309733552923255</v>
      </c>
      <c r="S17" s="64">
        <f>IF(0.85*$E$3/$AB$7*(1-SQRT(1-2*Q17/(0.85*0.9*$E$3*V15^2*10000)))&gt;$AB$9,"Double",MIN(VLOOKUP($AB$5,$X$2:$Y$11,2)/(MAX(0.85*$E$3/$AB$7*(1-SQRT(1-2*Q17/(0.85*0.9*$E$3*V15^2*10000)))*V15,$AB$11*E14)*10000),3*E14))</f>
        <v>0.2544690049407733</v>
      </c>
      <c r="T17" s="65">
        <f>IF(0.85*$E$3/$AC$7*(1-SQRT(1-2*Q17/(0.85*0.9*$E$3*W15^2*10000)))&gt;$AC$9,"Double",MIN(VLOOKUP($AC$5,$X$2:$Y$11,2)/(MAX(0.85*$E$3/$AC$7*(1-SQRT(1-2*Q17/(0.85*0.9*$E$3*W15^2*10000)))*W15,$AC$11*E14)*10000),3*E14))</f>
        <v>0.30000000000000004</v>
      </c>
    </row>
    <row r="18" spans="1:23" ht="23.25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3"/>
      <c r="L18" s="137"/>
      <c r="M18" s="118" t="s">
        <v>108</v>
      </c>
      <c r="N18" s="6">
        <f>VLOOKUP(K14,$BN$2:$BW$12,B14+1)+(K14-VLOOKUP(K14,$BN$2:$BW$12,1))*(VLOOKUP(K14+0.05,$BN$2:$BW$12,B14+1)-VLOOKUP(K14,$BN$2:$BW$12,B14+1))/0.05</f>
        <v>0.023</v>
      </c>
      <c r="O18" s="6">
        <f>VLOOKUP(K14,$CJ$2:$CS$12,B14+1)+(K14-VLOOKUP(K14,$CJ$2:$CS$12,1))*(VLOOKUP(K14+0.05,$CJ$2:$CS$12,B14+1)-VLOOKUP(K14,$CJ$2:$CS$12,B14+1))/0.05</f>
        <v>0.023</v>
      </c>
      <c r="P18" s="5" t="s">
        <v>79</v>
      </c>
      <c r="Q18" s="7">
        <f>N18*H14*D14^2+O18*I14*D14^2</f>
        <v>535.325</v>
      </c>
      <c r="R18" s="63">
        <f>IF(0.85*$E$3/$AA$7*(1-SQRT(1-2*Q18/(0.85*0.9*$E$3*U18^2*10000)))&gt;$AA$9,"Double",MIN(VLOOKUP($AA$5,$X$2:$Y$11,2)/(MAX(0.85*$E$3/$AA$7*(1-SQRT(1-2*Q18/(0.85*0.9*$E$3*U18^2*10000)))*U18,$AA$11*E14)*10000),3*E14))</f>
        <v>0.06871787013755791</v>
      </c>
      <c r="S18" s="64">
        <f>IF(0.85*$E$3/$AB$7*(1-SQRT(1-2*Q18/(0.85*0.9*$E$3*V18^2*10000)))&gt;$AB$9,"Double",MIN(VLOOKUP($AB$5,$X$2:$Y$11,2)/(MAX(0.85*$E$3/$AB$7*(1-SQRT(1-2*Q18/(0.85*0.9*$E$3*V18^2*10000)))*V18,$AB$11*E14)*10000),3*E14))</f>
        <v>0.15057428978938522</v>
      </c>
      <c r="T18" s="65">
        <f>IF(0.85*$E$3/$AC$7*(1-SQRT(1-2*Q18/(0.85*0.9*$E$3*W18^2*10000)))&gt;$AC$9,"Double",MIN(VLOOKUP($AC$5,$X$2:$Y$11,2)/(MAX(0.85*$E$3/$AC$7*(1-SQRT(1-2*Q18/(0.85*0.9*$E$3*W18^2*10000)))*W18,$AC$11*E14)*10000),3*E14))</f>
        <v>0.30000000000000004</v>
      </c>
      <c r="U18" s="82">
        <f>E14-$J$10-IF(K15=$AA$5,3*$AA$5/2,K15+$AA$5/2)/1000</f>
        <v>0.06300000000000001</v>
      </c>
      <c r="V18" s="82">
        <f>E14-$J$10-IF(K15=$AB$5,3*$AB$5/2,K15+$AB$5/2)/1000</f>
        <v>0.06150000000000001</v>
      </c>
      <c r="W18" s="82">
        <f>E14-$J$10-IF(K15=$AC$5,3*$AC$5/2,K15+$AC$5/2)/1000</f>
        <v>0.06000000000000001</v>
      </c>
    </row>
    <row r="19" spans="1:20" ht="23.25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38"/>
      <c r="M19" s="127" t="s">
        <v>106</v>
      </c>
      <c r="N19" s="8" t="s">
        <v>79</v>
      </c>
      <c r="O19" s="8" t="s">
        <v>79</v>
      </c>
      <c r="P19" s="9" t="str">
        <f>IF(OR(OR(OR(B14=2,B14=3),B14=7),B14=8),VLOOKUP(K14,$AR$2:$BA$12,B14+1)+(K14-VLOOKUP(K14,$AR$2:$BA$12,1))*(VLOOKUP(K14+0.05,$AR$2:$BA$12,B14+1)-VLOOKUP(K14,$AR$2:$BA$12,B14+1))/0.05,"-")</f>
        <v>-</v>
      </c>
      <c r="Q19" s="10">
        <f>IF(P19&lt;&gt;0,P19*J14*D14^2,Q18/3)</f>
        <v>178.4416666666667</v>
      </c>
      <c r="R19" s="69">
        <f>IF(0.85*$E$3/$AA$7*(1-SQRT(1-2*Q19/(0.85*0.9*$E$3*U15^2*10000)))&gt;$AA$9,"Double",MIN(VLOOKUP($AA$5,$X$2:$Y$11,2)/(MAX(0.85*$E$3/$AA$7*(1-SQRT(1-2*Q19/(0.85*0.9*$E$3*U15^2*10000)))*U15,$AA$11*E14)*10000),3*E14))</f>
        <v>0.11309733552923255</v>
      </c>
      <c r="S19" s="70">
        <f>IF(0.85*$E$3/$AB$7*(1-SQRT(1-2*Q19/(0.85*0.9*$E$3*V15^2*10000)))&gt;$AB$9,"Double",MIN(VLOOKUP($AB$5,$X$2:$Y$11,2)/(MAX(0.85*$E$3/$AB$7*(1-SQRT(1-2*Q19/(0.85*0.9*$E$3*V15^2*10000)))*V15,$AB$11*E14)*10000),3*E14))</f>
        <v>0.2544690049407733</v>
      </c>
      <c r="T19" s="71">
        <f>IF(0.85*$E$3/$AC$7*(1-SQRT(1-2*Q19/(0.85*0.9*$E$3*W15^2*10000)))&gt;$AC$9,"Double",MIN(VLOOKUP($AC$5,$X$2:$Y$11,2)/(MAX(0.85*$E$3/$AC$7*(1-SQRT(1-2*Q19/(0.85*0.9*$E$3*W15^2*10000)))*W15,$AC$11*E14)*10000),3*E14))</f>
        <v>0.30000000000000004</v>
      </c>
    </row>
    <row r="20" spans="1:20" ht="23.25" customHeight="1">
      <c r="A20" s="21" t="s">
        <v>98</v>
      </c>
      <c r="B20" s="23">
        <v>2</v>
      </c>
      <c r="C20" s="24">
        <v>4</v>
      </c>
      <c r="D20" s="25">
        <v>5</v>
      </c>
      <c r="E20" s="26">
        <f>E14</f>
        <v>0.1</v>
      </c>
      <c r="F20" s="17">
        <f>F14</f>
        <v>350</v>
      </c>
      <c r="G20" s="58">
        <f>IF(E20&lt;0.08,"t &lt; 0.08",IF(K20&lt;0.5,"1WSLAB",IF(C20&lt;=D20,IF((C20+D20)/90&lt;E20,"OK",(C20+D20)/90),"A&gt;B ?")))</f>
        <v>0.1</v>
      </c>
      <c r="H20" s="22">
        <f>$Q$9*2400*E20</f>
        <v>336</v>
      </c>
      <c r="I20" s="22">
        <f>$Q$10*F20</f>
        <v>595</v>
      </c>
      <c r="J20" s="22">
        <f>H20+I20</f>
        <v>931</v>
      </c>
      <c r="K20" s="51">
        <f>C20/D20</f>
        <v>0.8</v>
      </c>
      <c r="L20" s="139" t="s">
        <v>113</v>
      </c>
      <c r="M20" s="118" t="s">
        <v>103</v>
      </c>
      <c r="N20" s="5" t="s">
        <v>79</v>
      </c>
      <c r="O20" s="5" t="s">
        <v>79</v>
      </c>
      <c r="P20" s="6">
        <f>IF(OR(OR(OR(B20=2,B20=5),B20=6),B20=9),VLOOKUP(K20,$AG$2:$AP$12,B20+1)+(K20-VLOOKUP(K20,$AG$2:$AP$12,1))*(VLOOKUP(K20+0.05,$AG$2:$AP$12,B20+1)-VLOOKUP(K20,$AG$2:$AP$12,B20+1))/0.05,"-")</f>
        <v>0.065</v>
      </c>
      <c r="Q20" s="7">
        <f>IF(P20&lt;&gt;0,P20*J20*C20^2,Q21/3)</f>
        <v>968.24</v>
      </c>
      <c r="R20" s="72">
        <f>IF(0.85*$E$3/$AA$7*(1-SQRT(1-2*Q20/(0.85*0.9*$E$3*U21^2*10000)))&gt;$AA$9,"Double",MIN(VLOOKUP($AA$5,$X$2:$Y$11,2)/(MAX(0.85*$E$3/$AA$7*(1-SQRT(1-2*Q20/(0.85*0.9*$E$3*U21^2*10000)))*U21,$AA$11*E20)*10000),3*E20))</f>
        <v>0.04260020563440298</v>
      </c>
      <c r="S20" s="73">
        <f>IF(0.85*$E$3/$AB$7*(1-SQRT(1-2*Q20/(0.85*0.9*$E$3*V21^2*10000)))&gt;$AB$9,"Double",MIN(VLOOKUP($AB$5,$X$2:$Y$11,2)/(MAX(0.85*$E$3/$AB$7*(1-SQRT(1-2*Q20/(0.85*0.9*$E$3*V21^2*10000)))*V21,$AB$11*E20)*10000),3*E20))</f>
        <v>0.09356712126616194</v>
      </c>
      <c r="T20" s="74">
        <f>IF(0.85*$E$3/$AC$7*(1-SQRT(1-2*Q20/(0.85*0.9*$E$3*W21^2*10000)))&gt;$AC$9,"Double",MIN(VLOOKUP($AC$5,$X$2:$Y$11,2)/(MAX(0.85*$E$3/$AC$7*(1-SQRT(1-2*Q20/(0.85*0.9*$E$3*W21^2*10000)))*W21,$AC$11*E20)*10000),3*E20))</f>
        <v>0.20283431475513644</v>
      </c>
    </row>
    <row r="21" spans="1:23" ht="23.25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75">
        <v>9</v>
      </c>
      <c r="L21" s="137"/>
      <c r="M21" s="118" t="s">
        <v>107</v>
      </c>
      <c r="N21" s="6">
        <f>VLOOKUP(K20,$BC$2:$BL$12,B20+1)+(K20-VLOOKUP(K20,$BC$2:$BL$12,1))*(VLOOKUP(K20+0.05,$BC$2:$BL$12,B20+1)-VLOOKUP(K20,$BC$2:$BL$12,B20+1))/0.05</f>
        <v>0.026</v>
      </c>
      <c r="O21" s="6">
        <f>VLOOKUP(K20,$BY$2:$CH$12,B20+1)+(K20-VLOOKUP(K20,$BY$2:$CH$12,1))*(VLOOKUP(K20+0.05,$BY$2:$CH$12,B20+1)-VLOOKUP(K20,$BY$2:$CH$12,B20+1))/0.05</f>
        <v>0.041</v>
      </c>
      <c r="P21" s="5" t="s">
        <v>79</v>
      </c>
      <c r="Q21" s="7">
        <f>N21*H20*C20^2+O21*I20*C20^2</f>
        <v>530.096</v>
      </c>
      <c r="R21" s="63">
        <f>IF(0.85*$E$3/$AA$7*(1-SQRT(1-2*Q21/(0.85*0.9*$E$3*U21^2*10000)))&gt;$AA$9,"Double",MIN(VLOOKUP($AA$5,$X$2:$Y$11,2)/(MAX(0.85*$E$3/$AA$7*(1-SQRT(1-2*Q21/(0.85*0.9*$E$3*U21^2*10000)))*U21,$AA$11*E20)*10000),3*E20))</f>
        <v>0.08022164395958409</v>
      </c>
      <c r="S21" s="64">
        <f>IF(0.85*$E$3/$AB$7*(1-SQRT(1-2*Q21/(0.85*0.9*$E$3*V21^2*10000)))&gt;$AB$9,"Double",MIN(VLOOKUP($AB$5,$X$2:$Y$11,2)/(MAX(0.85*$E$3/$AB$7*(1-SQRT(1-2*Q21/(0.85*0.9*$E$3*V21^2*10000)))*V21,$AB$11*E20)*10000),3*E20))</f>
        <v>0.17647013270931222</v>
      </c>
      <c r="T21" s="65">
        <f>IF(0.85*$E$3/$AC$7*(1-SQRT(1-2*Q21/(0.85*0.9*$E$3*W21^2*10000)))&gt;$AC$9,"Double",MIN(VLOOKUP($AC$5,$X$2:$Y$11,2)/(MAX(0.85*$E$3/$AC$7*(1-SQRT(1-2*Q21/(0.85*0.9*$E$3*W21^2*10000)))*W21,$AC$11*E20)*10000),3*E20))</f>
        <v>0.30000000000000004</v>
      </c>
      <c r="U21" s="82">
        <f>E20-$J$10-$AA$5/2000</f>
        <v>0.07200000000000001</v>
      </c>
      <c r="V21" s="82">
        <f>E20-$J$10-$AB$5/2000</f>
        <v>0.07050000000000001</v>
      </c>
      <c r="W21" s="82">
        <f>E20-$J$10-$AC$5/2000</f>
        <v>0.069</v>
      </c>
    </row>
    <row r="22" spans="1:20" ht="23.25">
      <c r="A22" s="121"/>
      <c r="B22" s="122"/>
      <c r="C22" s="123"/>
      <c r="D22" s="120"/>
      <c r="E22" s="120"/>
      <c r="F22" s="120"/>
      <c r="G22" s="120"/>
      <c r="H22" s="120"/>
      <c r="I22" s="120"/>
      <c r="J22" s="120"/>
      <c r="K22" s="120"/>
      <c r="L22" s="140"/>
      <c r="M22" s="124" t="s">
        <v>104</v>
      </c>
      <c r="N22" s="18" t="s">
        <v>79</v>
      </c>
      <c r="O22" s="18" t="s">
        <v>79</v>
      </c>
      <c r="P22" s="19">
        <f>IF(OR(OR(OR(OR(B20=2,B20=4),B20=5),B20=8),B20=9),VLOOKUP(K20,$AG$2:$AP$12,B20+1)+(K20-VLOOKUP(K20,$AG$2:$AP$12,1))*(VLOOKUP(K20+0.05,$AG$2:$AP$12,B20+1)-VLOOKUP(K20,$AG$2:$AP$12,B20+1))/0.05,"-")</f>
        <v>0.065</v>
      </c>
      <c r="Q22" s="20">
        <f>IF(P22&lt;&gt;0,P22*J20*C20^2,Q21/3)</f>
        <v>968.24</v>
      </c>
      <c r="R22" s="66">
        <f>IF(0.85*$E$3/$AA$7*(1-SQRT(1-2*Q22/(0.85*0.9*$E$3*U21^2*10000)))&gt;$AA$9,"Double",MIN(VLOOKUP($AA$5,$X$2:$Y$11,2)/(MAX(0.85*$E$3/$AA$7*(1-SQRT(1-2*Q22/(0.85*0.9*$E$3*U21^2*10000)))*U21,$AA$11*E20)*10000),3*E20))</f>
        <v>0.04260020563440298</v>
      </c>
      <c r="S22" s="67">
        <f>IF(0.85*$E$3/$AB$7*(1-SQRT(1-2*Q22/(0.85*0.9*$E$3*V21^2*10000)))&gt;$AB$9,"Double",MIN(VLOOKUP($AB$5,$X$2:$Y$11,2)/(MAX(0.85*$E$3/$AB$7*(1-SQRT(1-2*Q22/(0.85*0.9*$E$3*V21^2*10000)))*V21,$AB$11*E20)*10000),3*E20))</f>
        <v>0.09356712126616194</v>
      </c>
      <c r="T22" s="68">
        <f>IF(0.85*$E$3/$AC$7*(1-SQRT(1-2*Q22/(0.85*0.9*$E$3*W21^2*10000)))&gt;$AC$9,"Double",MIN(VLOOKUP($AC$5,$X$2:$Y$11,2)/(MAX(0.85*$E$3/$AC$7*(1-SQRT(1-2*Q22/(0.85*0.9*$E$3*W21^2*10000)))*W21,$AC$11*E20)*10000),3*E20))</f>
        <v>0.20283431475513644</v>
      </c>
    </row>
    <row r="23" spans="1:20" ht="23.25" customHeight="1">
      <c r="A23" s="121"/>
      <c r="B23" s="122"/>
      <c r="C23" s="123"/>
      <c r="D23" s="120"/>
      <c r="E23" s="120"/>
      <c r="F23" s="120"/>
      <c r="G23" s="120"/>
      <c r="H23" s="120"/>
      <c r="I23" s="120"/>
      <c r="J23" s="120"/>
      <c r="K23" s="120"/>
      <c r="L23" s="136" t="s">
        <v>114</v>
      </c>
      <c r="M23" s="118" t="s">
        <v>105</v>
      </c>
      <c r="N23" s="5" t="s">
        <v>79</v>
      </c>
      <c r="O23" s="5" t="s">
        <v>79</v>
      </c>
      <c r="P23" s="6">
        <f>IF(OR(OR(OR(OR(B20=2,B20=3),B20=4),B20=8),B20=9),VLOOKUP(K20,$AR$2:$BA$12,B20+1)+(K20-VLOOKUP(K20,$AR$2:$BA$12,1))*(VLOOKUP(K20+0.05,$AR$2:$BA$12,B20+1)-VLOOKUP(K20,$AR$2:$BA$12,B20+1))/0.05,"-")</f>
        <v>0.027</v>
      </c>
      <c r="Q23" s="7">
        <f>IF(P23&lt;&gt;0,P23*J20*D20^2,Q24/3)</f>
        <v>628.425</v>
      </c>
      <c r="R23" s="63">
        <f>IF(0.85*$E$3/$AA$7*(1-SQRT(1-2*Q23/(0.85*0.9*$E$3*U21^2*10000)))&gt;$AA$9,"Double",MIN(VLOOKUP($AA$5,$X$2:$Y$11,2)/(MAX(0.85*$E$3/$AA$7*(1-SQRT(1-2*Q23/(0.85*0.9*$E$3*U21^2*10000)))*U21,$AA$11*E20)*10000),3*E20))</f>
        <v>0.06722423494953025</v>
      </c>
      <c r="S23" s="64">
        <f>IF(0.85*$E$3/$AB$7*(1-SQRT(1-2*Q23/(0.85*0.9*$E$3*V21^2*10000)))&gt;$AB$9,"Double",MIN(VLOOKUP($AB$5,$X$2:$Y$11,2)/(MAX(0.85*$E$3/$AB$7*(1-SQRT(1-2*Q23/(0.85*0.9*$E$3*V21^2*10000)))*V21,$AB$11*E20)*10000),3*E20))</f>
        <v>0.14783141877668732</v>
      </c>
      <c r="T23" s="65">
        <f>IF(0.85*$E$3/$AC$7*(1-SQRT(1-2*Q23/(0.85*0.9*$E$3*W21^2*10000)))&gt;$AC$9,"Double",MIN(VLOOKUP($AC$5,$X$2:$Y$11,2)/(MAX(0.85*$E$3/$AC$7*(1-SQRT(1-2*Q23/(0.85*0.9*$E$3*W21^2*10000)))*W21,$AC$11*E20)*10000),3*E20))</f>
        <v>0.30000000000000004</v>
      </c>
    </row>
    <row r="24" spans="1:23" ht="23.25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3"/>
      <c r="L24" s="137"/>
      <c r="M24" s="118" t="s">
        <v>108</v>
      </c>
      <c r="N24" s="6">
        <f>VLOOKUP(K20,$BN$2:$BW$12,B20+1)+(K20-VLOOKUP(K20,$BN$2:$BW$12,1))*(VLOOKUP(K20+0.05,$BN$2:$BW$12,B20+1)-VLOOKUP(K20,$BN$2:$BW$12,B20+1))/0.05</f>
        <v>0.011</v>
      </c>
      <c r="O24" s="6">
        <f>VLOOKUP(K20,$CJ$2:$CS$12,B20+1)+(K20-VLOOKUP(K20,$CJ$2:$CS$12,1))*(VLOOKUP(K20+0.05,$CJ$2:$CS$12,B20+1)-VLOOKUP(K20,$CJ$2:$CS$12,B20+1))/0.05</f>
        <v>0.017</v>
      </c>
      <c r="P24" s="5" t="s">
        <v>79</v>
      </c>
      <c r="Q24" s="7">
        <f>N24*H20*D20^2+O24*I20*D20^2</f>
        <v>345.275</v>
      </c>
      <c r="R24" s="63">
        <f>IF(0.85*$E$3/$AA$7*(1-SQRT(1-2*Q24/(0.85*0.9*$E$3*U24^2*10000)))&gt;$AA$9,"Double",MIN(VLOOKUP($AA$5,$X$2:$Y$11,2)/(MAX(0.85*$E$3/$AA$7*(1-SQRT(1-2*Q24/(0.85*0.9*$E$3*U24^2*10000)))*U24,$AA$11*E20)*10000),3*E20))</f>
        <v>0.10833140903847374</v>
      </c>
      <c r="S24" s="64">
        <f>IF(0.85*$E$3/$AB$7*(1-SQRT(1-2*Q24/(0.85*0.9*$E$3*V24^2*10000)))&gt;$AB$9,"Double",MIN(VLOOKUP($AB$5,$X$2:$Y$11,2)/(MAX(0.85*$E$3/$AB$7*(1-SQRT(1-2*Q24/(0.85*0.9*$E$3*V24^2*10000)))*V24,$AB$11*E20)*10000),3*E20))</f>
        <v>0.23759517296642976</v>
      </c>
      <c r="T24" s="65">
        <f>IF(0.85*$E$3/$AC$7*(1-SQRT(1-2*Q24/(0.85*0.9*$E$3*W24^2*10000)))&gt;$AC$9,"Double",MIN(VLOOKUP($AC$5,$X$2:$Y$11,2)/(MAX(0.85*$E$3/$AC$7*(1-SQRT(1-2*Q24/(0.85*0.9*$E$3*W24^2*10000)))*W24,$AC$11*E20)*10000),3*E20))</f>
        <v>0.30000000000000004</v>
      </c>
      <c r="U24" s="82">
        <f>E20-$J$10-IF(K21=$AA$5,3*$AA$5/2,K21+$AA$5/2)/1000</f>
        <v>0.06300000000000001</v>
      </c>
      <c r="V24" s="82">
        <f>E20-$J$10-IF(K21=$AB$5,3*$AB$5/2,K21+$AB$5/2)/1000</f>
        <v>0.06150000000000001</v>
      </c>
      <c r="W24" s="82">
        <f>E20-$J$10-IF(K21=$AC$5,3*$AC$5/2,K21+$AC$5/2)/1000</f>
        <v>0.06000000000000001</v>
      </c>
    </row>
    <row r="25" spans="1:20" ht="23.25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38"/>
      <c r="M25" s="127" t="s">
        <v>106</v>
      </c>
      <c r="N25" s="8" t="s">
        <v>79</v>
      </c>
      <c r="O25" s="8" t="s">
        <v>79</v>
      </c>
      <c r="P25" s="9">
        <f>IF(OR(OR(OR(B20=2,B20=3),B20=7),B20=8),VLOOKUP(K20,$AR$2:$BA$12,B20+1)+(K20-VLOOKUP(K20,$AR$2:$BA$12,1))*(VLOOKUP(K20+0.05,$AR$2:$BA$12,B20+1)-VLOOKUP(K20,$AR$2:$BA$12,B20+1))/0.05,"-")</f>
        <v>0.027</v>
      </c>
      <c r="Q25" s="10">
        <f>IF(P25&lt;&gt;0,P25*J20*D20^2,Q24/3)</f>
        <v>628.425</v>
      </c>
      <c r="R25" s="69">
        <f>IF(0.85*$E$3/$AA$7*(1-SQRT(1-2*Q25/(0.85*0.9*$E$3*U21^2*10000)))&gt;$AA$9,"Double",MIN(VLOOKUP($AA$5,$X$2:$Y$11,2)/(MAX(0.85*$E$3/$AA$7*(1-SQRT(1-2*Q25/(0.85*0.9*$E$3*U21^2*10000)))*U21,$AA$11*E20)*10000),3*E20))</f>
        <v>0.06722423494953025</v>
      </c>
      <c r="S25" s="70">
        <f>IF(0.85*$E$3/$AB$7*(1-SQRT(1-2*Q25/(0.85*0.9*$E$3*V21^2*10000)))&gt;$AB$9,"Double",MIN(VLOOKUP($AB$5,$X$2:$Y$11,2)/(MAX(0.85*$E$3/$AB$7*(1-SQRT(1-2*Q25/(0.85*0.9*$E$3*V21^2*10000)))*V21,$AB$11*E20)*10000),3*E20))</f>
        <v>0.14783141877668732</v>
      </c>
      <c r="T25" s="71">
        <f>IF(0.85*$E$3/$AC$7*(1-SQRT(1-2*Q25/(0.85*0.9*$E$3*W21^2*10000)))&gt;$AC$9,"Double",MIN(VLOOKUP($AC$5,$X$2:$Y$11,2)/(MAX(0.85*$E$3/$AC$7*(1-SQRT(1-2*Q25/(0.85*0.9*$E$3*W21^2*10000)))*W21,$AC$11*E20)*10000),3*E20))</f>
        <v>0.30000000000000004</v>
      </c>
    </row>
    <row r="26" spans="1:20" ht="23.25" customHeight="1">
      <c r="A26" s="21" t="s">
        <v>99</v>
      </c>
      <c r="B26" s="23">
        <v>3</v>
      </c>
      <c r="C26" s="24">
        <v>4</v>
      </c>
      <c r="D26" s="25">
        <v>4</v>
      </c>
      <c r="E26" s="26">
        <f>E20</f>
        <v>0.1</v>
      </c>
      <c r="F26" s="17">
        <f>F20</f>
        <v>350</v>
      </c>
      <c r="G26" s="58" t="str">
        <f>IF(E26&lt;0.08,"t &lt; 0.08",IF(K26&lt;0.5,"1WSLAB",IF(C26&lt;=D26,IF((C26+D26)/90&lt;E26,"OK",(C26+D26)/90),"A&gt;B ?")))</f>
        <v>OK</v>
      </c>
      <c r="H26" s="22">
        <f>$Q$9*2400*E26</f>
        <v>336</v>
      </c>
      <c r="I26" s="22">
        <f>$Q$10*F26</f>
        <v>595</v>
      </c>
      <c r="J26" s="22">
        <f>H26+I26</f>
        <v>931</v>
      </c>
      <c r="K26" s="51">
        <f>C26/D26</f>
        <v>1</v>
      </c>
      <c r="L26" s="139" t="s">
        <v>113</v>
      </c>
      <c r="M26" s="118" t="s">
        <v>103</v>
      </c>
      <c r="N26" s="5" t="s">
        <v>79</v>
      </c>
      <c r="O26" s="5" t="s">
        <v>79</v>
      </c>
      <c r="P26" s="6" t="str">
        <f>IF(OR(OR(OR(B26=2,B26=5),B26=6),B26=9),VLOOKUP(K26,$AG$2:$AP$12,B26+1)+(K26-VLOOKUP(K26,$AG$2:$AP$12,1))*(VLOOKUP(K26+0.05,$AG$2:$AP$12,B26+1)-VLOOKUP(K26,$AG$2:$AP$12,B26+1))/0.05,"-")</f>
        <v>-</v>
      </c>
      <c r="Q26" s="7">
        <f>IF(P26&lt;&gt;0,P26*J26*C26^2,Q27/3)</f>
        <v>117.93599999999999</v>
      </c>
      <c r="R26" s="72">
        <f>IF(0.85*$E$3/$AA$7*(1-SQRT(1-2*Q26/(0.85*0.9*$E$3*U27^2*10000)))&gt;$AA$9,"Double",MIN(VLOOKUP($AA$5,$X$2:$Y$11,2)/(MAX(0.85*$E$3/$AA$7*(1-SQRT(1-2*Q26/(0.85*0.9*$E$3*U27^2*10000)))*U27,$AA$11*E26)*10000),3*E26))</f>
        <v>0.11309733552923255</v>
      </c>
      <c r="S26" s="73">
        <f>IF(0.85*$E$3/$AB$7*(1-SQRT(1-2*Q26/(0.85*0.9*$E$3*V27^2*10000)))&gt;$AB$9,"Double",MIN(VLOOKUP($AB$5,$X$2:$Y$11,2)/(MAX(0.85*$E$3/$AB$7*(1-SQRT(1-2*Q26/(0.85*0.9*$E$3*V27^2*10000)))*V27,$AB$11*E26)*10000),3*E26))</f>
        <v>0.2544690049407733</v>
      </c>
      <c r="T26" s="74">
        <f>IF(0.85*$E$3/$AC$7*(1-SQRT(1-2*Q26/(0.85*0.9*$E$3*W27^2*10000)))&gt;$AC$9,"Double",MIN(VLOOKUP($AC$5,$X$2:$Y$11,2)/(MAX(0.85*$E$3/$AC$7*(1-SQRT(1-2*Q26/(0.85*0.9*$E$3*W27^2*10000)))*W27,$AC$11*E26)*10000),3*E26))</f>
        <v>0.30000000000000004</v>
      </c>
    </row>
    <row r="27" spans="1:23" ht="23.25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75">
        <v>9</v>
      </c>
      <c r="L27" s="137"/>
      <c r="M27" s="118" t="s">
        <v>107</v>
      </c>
      <c r="N27" s="6">
        <f>VLOOKUP(K26,$BC$2:$BL$12,B26+1)+(K26-VLOOKUP(K26,$BC$2:$BL$12,1))*(VLOOKUP(K26+0.05,$BC$2:$BL$12,B26+1)-VLOOKUP(K26,$BC$2:$BL$12,B26+1))/0.05</f>
        <v>0.018</v>
      </c>
      <c r="O27" s="6">
        <f>VLOOKUP(K26,$BY$2:$CH$12,B26+1)+(K26-VLOOKUP(K26,$BY$2:$CH$12,1))*(VLOOKUP(K26+0.05,$BY$2:$CH$12,B26+1)-VLOOKUP(K26,$BY$2:$CH$12,B26+1))/0.05</f>
        <v>0.027</v>
      </c>
      <c r="P27" s="5" t="s">
        <v>79</v>
      </c>
      <c r="Q27" s="7">
        <f>N27*H26*C26^2+O27*I26*C26^2</f>
        <v>353.808</v>
      </c>
      <c r="R27" s="63">
        <f>IF(0.85*$E$3/$AA$7*(1-SQRT(1-2*Q27/(0.85*0.9*$E$3*U27^2*10000)))&gt;$AA$9,"Double",MIN(VLOOKUP($AA$5,$X$2:$Y$11,2)/(MAX(0.85*$E$3/$AA$7*(1-SQRT(1-2*Q27/(0.85*0.9*$E$3*U27^2*10000)))*U27,$AA$11*E26)*10000),3*E26))</f>
        <v>0.11309733552923255</v>
      </c>
      <c r="S27" s="64">
        <f>IF(0.85*$E$3/$AB$7*(1-SQRT(1-2*Q27/(0.85*0.9*$E$3*V27^2*10000)))&gt;$AB$9,"Double",MIN(VLOOKUP($AB$5,$X$2:$Y$11,2)/(MAX(0.85*$E$3/$AB$7*(1-SQRT(1-2*Q27/(0.85*0.9*$E$3*V27^2*10000)))*V27,$AB$11*E26)*10000),3*E26))</f>
        <v>0.2544690049407733</v>
      </c>
      <c r="T27" s="65">
        <f>IF(0.85*$E$3/$AC$7*(1-SQRT(1-2*Q27/(0.85*0.9*$E$3*W27^2*10000)))&gt;$AC$9,"Double",MIN(VLOOKUP($AC$5,$X$2:$Y$11,2)/(MAX(0.85*$E$3/$AC$7*(1-SQRT(1-2*Q27/(0.85*0.9*$E$3*W27^2*10000)))*W27,$AC$11*E26)*10000),3*E26))</f>
        <v>0.30000000000000004</v>
      </c>
      <c r="U27" s="82">
        <f>E26-$J$10-$AA$5/2000</f>
        <v>0.07200000000000001</v>
      </c>
      <c r="V27" s="82">
        <f>E26-$J$10-$AB$5/2000</f>
        <v>0.07050000000000001</v>
      </c>
      <c r="W27" s="82">
        <f>E26-$J$10-$AC$5/2000</f>
        <v>0.069</v>
      </c>
    </row>
    <row r="28" spans="1:20" ht="23.25">
      <c r="A28" s="121"/>
      <c r="B28" s="122"/>
      <c r="C28" s="123"/>
      <c r="D28" s="120"/>
      <c r="E28" s="120"/>
      <c r="F28" s="120"/>
      <c r="G28" s="120"/>
      <c r="H28" s="120"/>
      <c r="I28" s="120"/>
      <c r="J28" s="120"/>
      <c r="K28" s="120"/>
      <c r="L28" s="140"/>
      <c r="M28" s="124" t="s">
        <v>104</v>
      </c>
      <c r="N28" s="18" t="s">
        <v>79</v>
      </c>
      <c r="O28" s="18" t="s">
        <v>79</v>
      </c>
      <c r="P28" s="19" t="str">
        <f>IF(OR(OR(OR(OR(B26=2,B26=4),B26=5),B26=8),B26=9),VLOOKUP(K26,$AG$2:$AP$12,B26+1)+(K26-VLOOKUP(K26,$AG$2:$AP$12,1))*(VLOOKUP(K26+0.05,$AG$2:$AP$12,B26+1)-VLOOKUP(K26,$AG$2:$AP$12,B26+1))/0.05,"-")</f>
        <v>-</v>
      </c>
      <c r="Q28" s="20">
        <f>IF(P28&lt;&gt;0,P28*J26*C26^2,Q27/3)</f>
        <v>117.93599999999999</v>
      </c>
      <c r="R28" s="66">
        <f>IF(0.85*$E$3/$AA$7*(1-SQRT(1-2*Q28/(0.85*0.9*$E$3*U27^2*10000)))&gt;$AA$9,"Double",MIN(VLOOKUP($AA$5,$X$2:$Y$11,2)/(MAX(0.85*$E$3/$AA$7*(1-SQRT(1-2*Q28/(0.85*0.9*$E$3*U27^2*10000)))*U27,$AA$11*E26)*10000),3*E26))</f>
        <v>0.11309733552923255</v>
      </c>
      <c r="S28" s="67">
        <f>IF(0.85*$E$3/$AB$7*(1-SQRT(1-2*Q28/(0.85*0.9*$E$3*V27^2*10000)))&gt;$AB$9,"Double",MIN(VLOOKUP($AB$5,$X$2:$Y$11,2)/(MAX(0.85*$E$3/$AB$7*(1-SQRT(1-2*Q28/(0.85*0.9*$E$3*V27^2*10000)))*V27,$AB$11*E26)*10000),3*E26))</f>
        <v>0.2544690049407733</v>
      </c>
      <c r="T28" s="68">
        <f>IF(0.85*$E$3/$AC$7*(1-SQRT(1-2*Q28/(0.85*0.9*$E$3*W27^2*10000)))&gt;$AC$9,"Double",MIN(VLOOKUP($AC$5,$X$2:$Y$11,2)/(MAX(0.85*$E$3/$AC$7*(1-SQRT(1-2*Q28/(0.85*0.9*$E$3*W27^2*10000)))*W27,$AC$11*E26)*10000),3*E26))</f>
        <v>0.30000000000000004</v>
      </c>
    </row>
    <row r="29" spans="1:20" ht="23.25" customHeight="1">
      <c r="A29" s="121"/>
      <c r="B29" s="122"/>
      <c r="C29" s="123"/>
      <c r="D29" s="120"/>
      <c r="E29" s="120"/>
      <c r="F29" s="120"/>
      <c r="G29" s="120"/>
      <c r="H29" s="120"/>
      <c r="I29" s="120"/>
      <c r="J29" s="120"/>
      <c r="K29" s="120"/>
      <c r="L29" s="136" t="s">
        <v>114</v>
      </c>
      <c r="M29" s="118" t="s">
        <v>105</v>
      </c>
      <c r="N29" s="5" t="s">
        <v>79</v>
      </c>
      <c r="O29" s="5" t="s">
        <v>79</v>
      </c>
      <c r="P29" s="6">
        <f>IF(OR(OR(OR(OR(B26=2,B26=3),B26=4),B26=8),B26=9),VLOOKUP(K26,$AR$2:$BA$12,B26+1)+(K26-VLOOKUP(K26,$AR$2:$BA$12,1))*(VLOOKUP(K26+0.05,$AR$2:$BA$12,B26+1)-VLOOKUP(K26,$AR$2:$BA$12,B26+1))/0.05,"-")</f>
        <v>0.076</v>
      </c>
      <c r="Q29" s="7">
        <f>IF(P29&lt;&gt;0,P29*J26*D26^2,Q30/3)</f>
        <v>1132.096</v>
      </c>
      <c r="R29" s="63">
        <f>IF(0.85*$E$3/$AA$7*(1-SQRT(1-2*Q29/(0.85*0.9*$E$3*U27^2*10000)))&gt;$AA$9,"Double",MIN(VLOOKUP($AA$5,$X$2:$Y$11,2)/(MAX(0.85*$E$3/$AA$7*(1-SQRT(1-2*Q29/(0.85*0.9*$E$3*U27^2*10000)))*U27,$AA$11*E26)*10000),3*E26))</f>
        <v>0.03599248383396618</v>
      </c>
      <c r="S29" s="64">
        <f>IF(0.85*$E$3/$AB$7*(1-SQRT(1-2*Q29/(0.85*0.9*$E$3*V27^2*10000)))&gt;$AB$9,"Double",MIN(VLOOKUP($AB$5,$X$2:$Y$11,2)/(MAX(0.85*$E$3/$AB$7*(1-SQRT(1-2*Q29/(0.85*0.9*$E$3*V27^2*10000)))*V27,$AB$11*E26)*10000),3*E26))</f>
        <v>0.07900162031964163</v>
      </c>
      <c r="T29" s="65">
        <f>IF(0.85*$E$3/$AC$7*(1-SQRT(1-2*Q29/(0.85*0.9*$E$3*W27^2*10000)))&gt;$AC$9,"Double",MIN(VLOOKUP($AC$5,$X$2:$Y$11,2)/(MAX(0.85*$E$3/$AC$7*(1-SQRT(1-2*Q29/(0.85*0.9*$E$3*W27^2*10000)))*W27,$AC$11*E26)*10000),3*E26))</f>
        <v>0.1711357469899162</v>
      </c>
    </row>
    <row r="30" spans="1:23" ht="23.25">
      <c r="A30" s="119"/>
      <c r="B30" s="120"/>
      <c r="C30" s="120"/>
      <c r="D30" s="120"/>
      <c r="E30" s="120"/>
      <c r="F30" s="120"/>
      <c r="G30" s="120"/>
      <c r="H30" s="120"/>
      <c r="I30" s="120"/>
      <c r="J30" s="120"/>
      <c r="K30" s="123"/>
      <c r="L30" s="137"/>
      <c r="M30" s="118" t="s">
        <v>108</v>
      </c>
      <c r="N30" s="6">
        <f>VLOOKUP(K26,$BN$2:$BW$12,B26+1)+(K26-VLOOKUP(K26,$BN$2:$BW$12,1))*(VLOOKUP(K26+0.05,$BN$2:$BW$12,B26+1)-VLOOKUP(K26,$BN$2:$BW$12,B26+1))/0.05</f>
        <v>0.027</v>
      </c>
      <c r="O30" s="6">
        <f>VLOOKUP(K26,$CJ$2:$CS$12,B26+1)+(K26-VLOOKUP(K26,$CJ$2:$CS$12,1))*(VLOOKUP(K26+0.05,$CJ$2:$CS$12,B26+1)-VLOOKUP(K26,$CJ$2:$CS$12,B26+1))/0.05</f>
        <v>0.032</v>
      </c>
      <c r="P30" s="5" t="s">
        <v>79</v>
      </c>
      <c r="Q30" s="7">
        <f>N30*H26*D26^2+O30*I26*D26^2</f>
        <v>449.792</v>
      </c>
      <c r="R30" s="63">
        <f>IF(0.85*$E$3/$AA$7*(1-SQRT(1-2*Q30/(0.85*0.9*$E$3*U30^2*10000)))&gt;$AA$9,"Double",MIN(VLOOKUP($AA$5,$X$2:$Y$11,2)/(MAX(0.85*$E$3/$AA$7*(1-SQRT(1-2*Q30/(0.85*0.9*$E$3*U30^2*10000)))*U30,$AA$11*E26)*10000),3*E26))</f>
        <v>0.0824093288722476</v>
      </c>
      <c r="S30" s="64">
        <f>IF(0.85*$E$3/$AB$7*(1-SQRT(1-2*Q30/(0.85*0.9*$E$3*V30^2*10000)))&gt;$AB$9,"Double",MIN(VLOOKUP($AB$5,$X$2:$Y$11,2)/(MAX(0.85*$E$3/$AB$7*(1-SQRT(1-2*Q30/(0.85*0.9*$E$3*V30^2*10000)))*V30,$AB$11*E26)*10000),3*E26))</f>
        <v>0.18065242682232</v>
      </c>
      <c r="T30" s="65">
        <f>IF(0.85*$E$3/$AC$7*(1-SQRT(1-2*Q30/(0.85*0.9*$E$3*W30^2*10000)))&gt;$AC$9,"Double",MIN(VLOOKUP($AC$5,$X$2:$Y$11,2)/(MAX(0.85*$E$3/$AC$7*(1-SQRT(1-2*Q30/(0.85*0.9*$E$3*W30^2*10000)))*W30,$AC$11*E26)*10000),3*E26))</f>
        <v>0.30000000000000004</v>
      </c>
      <c r="U30" s="82">
        <f>E26-$J$10-IF(K27=$AA$5,3*$AA$5/2,K27+$AA$5/2)/1000</f>
        <v>0.06300000000000001</v>
      </c>
      <c r="V30" s="82">
        <f>E26-$J$10-IF(K27=$AB$5,3*$AB$5/2,K27+$AB$5/2)/1000</f>
        <v>0.06150000000000001</v>
      </c>
      <c r="W30" s="82">
        <f>E26-$J$10-IF(K27=$AC$5,3*$AC$5/2,K27+$AC$5/2)/1000</f>
        <v>0.06000000000000001</v>
      </c>
    </row>
    <row r="31" spans="1:20" ht="23.25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38"/>
      <c r="M31" s="127" t="s">
        <v>106</v>
      </c>
      <c r="N31" s="8" t="s">
        <v>79</v>
      </c>
      <c r="O31" s="8" t="s">
        <v>79</v>
      </c>
      <c r="P31" s="9">
        <f>IF(OR(OR(OR(B26=2,B26=3),B26=7),B26=8),VLOOKUP(K26,$AR$2:$BA$12,B26+1)+(K26-VLOOKUP(K26,$AR$2:$BA$12,1))*(VLOOKUP(K26+0.05,$AR$2:$BA$12,B26+1)-VLOOKUP(K26,$AR$2:$BA$12,B26+1))/0.05,"-")</f>
        <v>0.076</v>
      </c>
      <c r="Q31" s="10">
        <f>IF(P31&lt;&gt;0,P31*J26*D26^2,Q30/3)</f>
        <v>1132.096</v>
      </c>
      <c r="R31" s="69">
        <f>IF(0.85*$E$3/$AA$7*(1-SQRT(1-2*Q31/(0.85*0.9*$E$3*U27^2*10000)))&gt;$AA$9,"Double",MIN(VLOOKUP($AA$5,$X$2:$Y$11,2)/(MAX(0.85*$E$3/$AA$7*(1-SQRT(1-2*Q31/(0.85*0.9*$E$3*U27^2*10000)))*U27,$AA$11*E26)*10000),3*E26))</f>
        <v>0.03599248383396618</v>
      </c>
      <c r="S31" s="70">
        <f>IF(0.85*$E$3/$AB$7*(1-SQRT(1-2*Q31/(0.85*0.9*$E$3*V27^2*10000)))&gt;$AB$9,"Double",MIN(VLOOKUP($AB$5,$X$2:$Y$11,2)/(MAX(0.85*$E$3/$AB$7*(1-SQRT(1-2*Q31/(0.85*0.9*$E$3*V27^2*10000)))*V27,$AB$11*E26)*10000),3*E26))</f>
        <v>0.07900162031964163</v>
      </c>
      <c r="T31" s="71">
        <f>IF(0.85*$E$3/$AC$7*(1-SQRT(1-2*Q31/(0.85*0.9*$E$3*W27^2*10000)))&gt;$AC$9,"Double",MIN(VLOOKUP($AC$5,$X$2:$Y$11,2)/(MAX(0.85*$E$3/$AC$7*(1-SQRT(1-2*Q31/(0.85*0.9*$E$3*W27^2*10000)))*W27,$AC$11*E26)*10000),3*E26))</f>
        <v>0.1711357469899162</v>
      </c>
    </row>
    <row r="32" spans="1:20" ht="23.25" customHeight="1">
      <c r="A32" s="21" t="s">
        <v>100</v>
      </c>
      <c r="B32" s="23">
        <v>4</v>
      </c>
      <c r="C32" s="24">
        <v>4</v>
      </c>
      <c r="D32" s="25">
        <v>5</v>
      </c>
      <c r="E32" s="26">
        <f>E26</f>
        <v>0.1</v>
      </c>
      <c r="F32" s="17">
        <f>F26</f>
        <v>350</v>
      </c>
      <c r="G32" s="58">
        <f>IF(E32&lt;0.08,"t &lt; 0.08",IF(K32&lt;0.5,"1WSLAB",IF(C32&lt;=D32,IF((C32+D32)/90&lt;E32,"OK",(C32+D32)/90),"A&gt;B ?")))</f>
        <v>0.1</v>
      </c>
      <c r="H32" s="22">
        <f>$Q$9*2400*E32</f>
        <v>336</v>
      </c>
      <c r="I32" s="22">
        <f>$Q$10*F32</f>
        <v>595</v>
      </c>
      <c r="J32" s="22">
        <f>H32+I32</f>
        <v>931</v>
      </c>
      <c r="K32" s="51">
        <f>C32/D32</f>
        <v>0.8</v>
      </c>
      <c r="L32" s="139" t="s">
        <v>113</v>
      </c>
      <c r="M32" s="118" t="s">
        <v>103</v>
      </c>
      <c r="N32" s="5" t="s">
        <v>79</v>
      </c>
      <c r="O32" s="5" t="s">
        <v>79</v>
      </c>
      <c r="P32" s="6" t="str">
        <f>IF(OR(OR(OR(B32=2,B32=5),B32=6),B32=9),VLOOKUP(K32,$AG$2:$AP$12,B32+1)+(K32-VLOOKUP(K32,$AG$2:$AP$12,1))*(VLOOKUP(K32+0.05,$AG$2:$AP$12,B32+1)-VLOOKUP(K32,$AG$2:$AP$12,B32+1))/0.05,"-")</f>
        <v>-</v>
      </c>
      <c r="Q32" s="7">
        <f>IF(P32&lt;&gt;0,P32*J32*C32^2,Q33/3)</f>
        <v>222.208</v>
      </c>
      <c r="R32" s="72">
        <f>IF(0.85*$E$3/$AA$7*(1-SQRT(1-2*Q32/(0.85*0.9*$E$3*U33^2*10000)))&gt;$AA$9,"Double",MIN(VLOOKUP($AA$5,$X$2:$Y$11,2)/(MAX(0.85*$E$3/$AA$7*(1-SQRT(1-2*Q32/(0.85*0.9*$E$3*U33^2*10000)))*U33,$AA$11*E32)*10000),3*E32))</f>
        <v>0.11309733552923255</v>
      </c>
      <c r="S32" s="73">
        <f>IF(0.85*$E$3/$AB$7*(1-SQRT(1-2*Q32/(0.85*0.9*$E$3*V33^2*10000)))&gt;$AB$9,"Double",MIN(VLOOKUP($AB$5,$X$2:$Y$11,2)/(MAX(0.85*$E$3/$AB$7*(1-SQRT(1-2*Q32/(0.85*0.9*$E$3*V33^2*10000)))*V33,$AB$11*E32)*10000),3*E32))</f>
        <v>0.2544690049407733</v>
      </c>
      <c r="T32" s="74">
        <f>IF(0.85*$E$3/$AC$7*(1-SQRT(1-2*Q32/(0.85*0.9*$E$3*W33^2*10000)))&gt;$AC$9,"Double",MIN(VLOOKUP($AC$5,$X$2:$Y$11,2)/(MAX(0.85*$E$3/$AC$7*(1-SQRT(1-2*Q32/(0.85*0.9*$E$3*W33^2*10000)))*W33,$AC$11*E32)*10000),3*E32))</f>
        <v>0.30000000000000004</v>
      </c>
    </row>
    <row r="33" spans="1:23" ht="23.25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75">
        <v>9</v>
      </c>
      <c r="L33" s="137"/>
      <c r="M33" s="118" t="s">
        <v>107</v>
      </c>
      <c r="N33" s="6">
        <f>VLOOKUP(K32,$BC$2:$BL$12,B32+1)+(K32-VLOOKUP(K32,$BC$2:$BL$12,1))*(VLOOKUP(K32+0.05,$BC$2:$BL$12,B32+1)-VLOOKUP(K32,$BC$2:$BL$12,B32+1))/0.05</f>
        <v>0.039</v>
      </c>
      <c r="O33" s="6">
        <f>VLOOKUP(K32,$BY$2:$CH$12,B32+1)+(K32-VLOOKUP(K32,$BY$2:$CH$12,1))*(VLOOKUP(K32+0.05,$BY$2:$CH$12,B32+1)-VLOOKUP(K32,$BY$2:$CH$12,B32+1))/0.05</f>
        <v>0.048</v>
      </c>
      <c r="P33" s="5" t="s">
        <v>79</v>
      </c>
      <c r="Q33" s="7">
        <f>N33*H32*C32^2+O33*I32*C32^2</f>
        <v>666.624</v>
      </c>
      <c r="R33" s="63">
        <f>IF(0.85*$E$3/$AA$7*(1-SQRT(1-2*Q33/(0.85*0.9*$E$3*U33^2*10000)))&gt;$AA$9,"Double",MIN(VLOOKUP($AA$5,$X$2:$Y$11,2)/(MAX(0.85*$E$3/$AA$7*(1-SQRT(1-2*Q33/(0.85*0.9*$E$3*U33^2*10000)))*U33,$AA$11*E32)*10000),3*E32))</f>
        <v>0.06320752283869246</v>
      </c>
      <c r="S33" s="64">
        <f>IF(0.85*$E$3/$AB$7*(1-SQRT(1-2*Q33/(0.85*0.9*$E$3*V33^2*10000)))&gt;$AB$9,"Double",MIN(VLOOKUP($AB$5,$X$2:$Y$11,2)/(MAX(0.85*$E$3/$AB$7*(1-SQRT(1-2*Q33/(0.85*0.9*$E$3*V33^2*10000)))*V33,$AB$11*E32)*10000),3*E32))</f>
        <v>0.1389805806390099</v>
      </c>
      <c r="T33" s="65">
        <f>IF(0.85*$E$3/$AC$7*(1-SQRT(1-2*Q33/(0.85*0.9*$E$3*W33^2*10000)))&gt;$AC$9,"Double",MIN(VLOOKUP($AC$5,$X$2:$Y$11,2)/(MAX(0.85*$E$3/$AC$7*(1-SQRT(1-2*Q33/(0.85*0.9*$E$3*W33^2*10000)))*W33,$AC$11*E32)*10000),3*E32))</f>
        <v>0.30000000000000004</v>
      </c>
      <c r="U33" s="82">
        <f>E32-$J$10-$AA$5/2000</f>
        <v>0.07200000000000001</v>
      </c>
      <c r="V33" s="82">
        <f>E32-$J$10-$AB$5/2000</f>
        <v>0.07050000000000001</v>
      </c>
      <c r="W33" s="82">
        <f>E32-$J$10-$AC$5/2000</f>
        <v>0.069</v>
      </c>
    </row>
    <row r="34" spans="1:20" ht="23.25">
      <c r="A34" s="121"/>
      <c r="B34" s="122"/>
      <c r="C34" s="123"/>
      <c r="D34" s="120"/>
      <c r="E34" s="120"/>
      <c r="F34" s="120"/>
      <c r="G34" s="120"/>
      <c r="H34" s="120"/>
      <c r="I34" s="120"/>
      <c r="J34" s="120"/>
      <c r="K34" s="120"/>
      <c r="L34" s="140"/>
      <c r="M34" s="124" t="s">
        <v>104</v>
      </c>
      <c r="N34" s="18" t="s">
        <v>79</v>
      </c>
      <c r="O34" s="18" t="s">
        <v>79</v>
      </c>
      <c r="P34" s="19">
        <f>IF(OR(OR(OR(OR(B32=2,B32=4),B32=5),B32=8),B32=9),VLOOKUP(K32,$AG$2:$AP$12,B32+1)+(K32-VLOOKUP(K32,$AG$2:$AP$12,1))*(VLOOKUP(K32+0.05,$AG$2:$AP$12,B32+1)-VLOOKUP(K32,$AG$2:$AP$12,B32+1))/0.05,"-")</f>
        <v>0.071</v>
      </c>
      <c r="Q34" s="20">
        <f>IF(P34&lt;&gt;0,P34*J32*C32^2,Q33/3)</f>
        <v>1057.616</v>
      </c>
      <c r="R34" s="66">
        <f>IF(0.85*$E$3/$AA$7*(1-SQRT(1-2*Q34/(0.85*0.9*$E$3*U33^2*10000)))&gt;$AA$9,"Double",MIN(VLOOKUP($AA$5,$X$2:$Y$11,2)/(MAX(0.85*$E$3/$AA$7*(1-SQRT(1-2*Q34/(0.85*0.9*$E$3*U33^2*10000)))*U33,$AA$11*E32)*10000),3*E32))</f>
        <v>0.038743720883259954</v>
      </c>
      <c r="S34" s="67">
        <f>IF(0.85*$E$3/$AB$7*(1-SQRT(1-2*Q34/(0.85*0.9*$E$3*V33^2*10000)))&gt;$AB$9,"Double",MIN(VLOOKUP($AB$5,$X$2:$Y$11,2)/(MAX(0.85*$E$3/$AB$7*(1-SQRT(1-2*Q34/(0.85*0.9*$E$3*V33^2*10000)))*V33,$AB$11*E32)*10000),3*E32))</f>
        <v>0.08506659329782684</v>
      </c>
      <c r="T34" s="68">
        <f>IF(0.85*$E$3/$AC$7*(1-SQRT(1-2*Q34/(0.85*0.9*$E$3*W33^2*10000)))&gt;$AC$9,"Double",MIN(VLOOKUP($AC$5,$X$2:$Y$11,2)/(MAX(0.85*$E$3/$AC$7*(1-SQRT(1-2*Q34/(0.85*0.9*$E$3*W33^2*10000)))*W33,$AC$11*E32)*10000),3*E32))</f>
        <v>0.1843357602450845</v>
      </c>
    </row>
    <row r="35" spans="1:20" ht="23.25" customHeight="1">
      <c r="A35" s="121"/>
      <c r="B35" s="122"/>
      <c r="C35" s="123"/>
      <c r="D35" s="120"/>
      <c r="E35" s="120"/>
      <c r="F35" s="120"/>
      <c r="G35" s="120"/>
      <c r="H35" s="120"/>
      <c r="I35" s="120"/>
      <c r="J35" s="120"/>
      <c r="K35" s="120"/>
      <c r="L35" s="136" t="s">
        <v>114</v>
      </c>
      <c r="M35" s="118" t="s">
        <v>105</v>
      </c>
      <c r="N35" s="5" t="s">
        <v>79</v>
      </c>
      <c r="O35" s="5" t="s">
        <v>79</v>
      </c>
      <c r="P35" s="6">
        <f>IF(OR(OR(OR(OR(B32=2,B32=3),B32=4),B32=8),B32=9),VLOOKUP(K32,$AR$2:$BA$12,B32+1)+(K32-VLOOKUP(K32,$AR$2:$BA$12,1))*(VLOOKUP(K32+0.05,$AR$2:$BA$12,B32+1)-VLOOKUP(K32,$AR$2:$BA$12,B32+1))/0.05,"-")</f>
        <v>0.029</v>
      </c>
      <c r="Q35" s="7">
        <f>IF(P35&lt;&gt;0,P35*J32*D32^2,Q36/3)</f>
        <v>674.975</v>
      </c>
      <c r="R35" s="63">
        <f>IF(0.85*$E$3/$AA$7*(1-SQRT(1-2*Q35/(0.85*0.9*$E$3*U33^2*10000)))&gt;$AA$9,"Double",MIN(VLOOKUP($AA$5,$X$2:$Y$11,2)/(MAX(0.85*$E$3/$AA$7*(1-SQRT(1-2*Q35/(0.85*0.9*$E$3*U33^2*10000)))*U33,$AA$11*E32)*10000),3*E32))</f>
        <v>0.06238983848798914</v>
      </c>
      <c r="S35" s="64">
        <f>IF(0.85*$E$3/$AB$7*(1-SQRT(1-2*Q35/(0.85*0.9*$E$3*V33^2*10000)))&gt;$AB$9,"Double",MIN(VLOOKUP($AB$5,$X$2:$Y$11,2)/(MAX(0.85*$E$3/$AB$7*(1-SQRT(1-2*Q35/(0.85*0.9*$E$3*V33^2*10000)))*V33,$AB$11*E32)*10000),3*E32))</f>
        <v>0.137178784258543</v>
      </c>
      <c r="T35" s="65">
        <f>IF(0.85*$E$3/$AC$7*(1-SQRT(1-2*Q35/(0.85*0.9*$E$3*W33^2*10000)))&gt;$AC$9,"Double",MIN(VLOOKUP($AC$5,$X$2:$Y$11,2)/(MAX(0.85*$E$3/$AC$7*(1-SQRT(1-2*Q35/(0.85*0.9*$E$3*W33^2*10000)))*W33,$AC$11*E32)*10000),3*E32))</f>
        <v>0.2977181682012482</v>
      </c>
    </row>
    <row r="36" spans="1:23" ht="23.25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3"/>
      <c r="L36" s="137"/>
      <c r="M36" s="118" t="s">
        <v>108</v>
      </c>
      <c r="N36" s="6">
        <f>VLOOKUP(K32,$BN$2:$BW$12,B32+1)+(K32-VLOOKUP(K32,$BN$2:$BW$12,1))*(VLOOKUP(K32+0.05,$BN$2:$BW$12,B32+1)-VLOOKUP(K32,$BN$2:$BW$12,B32+1))/0.05</f>
        <v>0.016</v>
      </c>
      <c r="O36" s="6">
        <f>VLOOKUP(K32,$CJ$2:$CS$12,B32+1)+(K32-VLOOKUP(K32,$CJ$2:$CS$12,1))*(VLOOKUP(K32+0.05,$CJ$2:$CS$12,B32+1)-VLOOKUP(K32,$CJ$2:$CS$12,B32+1))/0.05</f>
        <v>0.02</v>
      </c>
      <c r="P36" s="5" t="s">
        <v>79</v>
      </c>
      <c r="Q36" s="7">
        <f>N36*H32*D32^2+O36*I32*D32^2</f>
        <v>431.9</v>
      </c>
      <c r="R36" s="63">
        <f>IF(0.85*$E$3/$AA$7*(1-SQRT(1-2*Q36/(0.85*0.9*$E$3*U36^2*10000)))&gt;$AA$9,"Double",MIN(VLOOKUP($AA$5,$X$2:$Y$11,2)/(MAX(0.85*$E$3/$AA$7*(1-SQRT(1-2*Q36/(0.85*0.9*$E$3*U36^2*10000)))*U36,$AA$11*E32)*10000),3*E32))</f>
        <v>0.08595788304501678</v>
      </c>
      <c r="S36" s="64">
        <f>IF(0.85*$E$3/$AB$7*(1-SQRT(1-2*Q36/(0.85*0.9*$E$3*V36^2*10000)))&gt;$AB$9,"Double",MIN(VLOOKUP($AB$5,$X$2:$Y$11,2)/(MAX(0.85*$E$3/$AB$7*(1-SQRT(1-2*Q36/(0.85*0.9*$E$3*V36^2*10000)))*V36,$AB$11*E32)*10000),3*E32))</f>
        <v>0.188447755839497</v>
      </c>
      <c r="T36" s="65">
        <f>IF(0.85*$E$3/$AC$7*(1-SQRT(1-2*Q36/(0.85*0.9*$E$3*W36^2*10000)))&gt;$AC$9,"Double",MIN(VLOOKUP($AC$5,$X$2:$Y$11,2)/(MAX(0.85*$E$3/$AC$7*(1-SQRT(1-2*Q36/(0.85*0.9*$E$3*W36^2*10000)))*W36,$AC$11*E32)*10000),3*E32))</f>
        <v>0.30000000000000004</v>
      </c>
      <c r="U36" s="82">
        <f>E32-$J$10-IF(K33=$AA$5,3*$AA$5/2,K33+$AA$5/2)/1000</f>
        <v>0.06300000000000001</v>
      </c>
      <c r="V36" s="82">
        <f>E32-$J$10-IF(K33=$AB$5,3*$AB$5/2,K33+$AB$5/2)/1000</f>
        <v>0.06150000000000001</v>
      </c>
      <c r="W36" s="82">
        <f>E32-$J$10-IF(K33=$AC$5,3*$AC$5/2,K33+$AC$5/2)/1000</f>
        <v>0.06000000000000001</v>
      </c>
    </row>
    <row r="37" spans="1:20" ht="23.25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38"/>
      <c r="M37" s="127" t="s">
        <v>106</v>
      </c>
      <c r="N37" s="8" t="s">
        <v>79</v>
      </c>
      <c r="O37" s="8" t="s">
        <v>79</v>
      </c>
      <c r="P37" s="9" t="str">
        <f>IF(OR(OR(OR(B32=2,B32=3),B32=7),B32=8),VLOOKUP(K32,$AR$2:$BA$12,B32+1)+(K32-VLOOKUP(K32,$AR$2:$BA$12,1))*(VLOOKUP(K32+0.05,$AR$2:$BA$12,B32+1)-VLOOKUP(K32,$AR$2:$BA$12,B32+1))/0.05,"-")</f>
        <v>-</v>
      </c>
      <c r="Q37" s="10">
        <f>IF(P37&lt;&gt;0,P37*J32*D32^2,Q36/3)</f>
        <v>143.96666666666667</v>
      </c>
      <c r="R37" s="69">
        <f>IF(0.85*$E$3/$AA$7*(1-SQRT(1-2*Q37/(0.85*0.9*$E$3*U33^2*10000)))&gt;$AA$9,"Double",MIN(VLOOKUP($AA$5,$X$2:$Y$11,2)/(MAX(0.85*$E$3/$AA$7*(1-SQRT(1-2*Q37/(0.85*0.9*$E$3*U33^2*10000)))*U33,$AA$11*E32)*10000),3*E32))</f>
        <v>0.11309733552923255</v>
      </c>
      <c r="S37" s="70">
        <f>IF(0.85*$E$3/$AB$7*(1-SQRT(1-2*Q37/(0.85*0.9*$E$3*V33^2*10000)))&gt;$AB$9,"Double",MIN(VLOOKUP($AB$5,$X$2:$Y$11,2)/(MAX(0.85*$E$3/$AB$7*(1-SQRT(1-2*Q37/(0.85*0.9*$E$3*V33^2*10000)))*V33,$AB$11*E32)*10000),3*E32))</f>
        <v>0.2544690049407733</v>
      </c>
      <c r="T37" s="71">
        <f>IF(0.85*$E$3/$AC$7*(1-SQRT(1-2*Q37/(0.85*0.9*$E$3*W33^2*10000)))&gt;$AC$9,"Double",MIN(VLOOKUP($AC$5,$X$2:$Y$11,2)/(MAX(0.85*$E$3/$AC$7*(1-SQRT(1-2*Q37/(0.85*0.9*$E$3*W33^2*10000)))*W33,$AC$11*E32)*10000),3*E32))</f>
        <v>0.30000000000000004</v>
      </c>
    </row>
    <row r="38" spans="1:20" ht="23.25" customHeight="1">
      <c r="A38" s="21" t="s">
        <v>101</v>
      </c>
      <c r="B38" s="23">
        <v>5</v>
      </c>
      <c r="C38" s="24">
        <v>4</v>
      </c>
      <c r="D38" s="25">
        <v>4</v>
      </c>
      <c r="E38" s="26">
        <f>E32</f>
        <v>0.1</v>
      </c>
      <c r="F38" s="17">
        <f>F32</f>
        <v>350</v>
      </c>
      <c r="G38" s="58" t="str">
        <f>IF(E38&lt;0.08,"t &lt; 0.08",IF(K38&lt;0.5,"1WSLAB",IF(C38&lt;=D38,IF((C38+D38)/90&lt;E38,"OK",(C38+D38)/90),"A&gt;B ?")))</f>
        <v>OK</v>
      </c>
      <c r="H38" s="22">
        <f>$Q$9*2400*E38</f>
        <v>336</v>
      </c>
      <c r="I38" s="22">
        <f>$Q$10*F38</f>
        <v>595</v>
      </c>
      <c r="J38" s="22">
        <f>H38+I38</f>
        <v>931</v>
      </c>
      <c r="K38" s="51">
        <f>C38/D38</f>
        <v>1</v>
      </c>
      <c r="L38" s="139" t="s">
        <v>113</v>
      </c>
      <c r="M38" s="118" t="s">
        <v>103</v>
      </c>
      <c r="N38" s="5" t="s">
        <v>79</v>
      </c>
      <c r="O38" s="5" t="s">
        <v>79</v>
      </c>
      <c r="P38" s="6">
        <f>IF(OR(OR(OR(B38=2,B38=5),B38=6),B38=9),VLOOKUP(K38,$AG$2:$AP$12,B38+1)+(K38-VLOOKUP(K38,$AG$2:$AP$12,1))*(VLOOKUP(K38+0.05,$AG$2:$AP$12,B38+1)-VLOOKUP(K38,$AG$2:$AP$12,B38+1))/0.05,"-")</f>
        <v>0.075</v>
      </c>
      <c r="Q38" s="7">
        <f>IF(P38&lt;&gt;0,P38*J38*C38^2,Q39/3)</f>
        <v>1117.2</v>
      </c>
      <c r="R38" s="72">
        <f>IF(0.85*$E$3/$AA$7*(1-SQRT(1-2*Q38/(0.85*0.9*$E$3*U39^2*10000)))&gt;$AA$9,"Double",MIN(VLOOKUP($AA$5,$X$2:$Y$11,2)/(MAX(0.85*$E$3/$AA$7*(1-SQRT(1-2*Q38/(0.85*0.9*$E$3*U39^2*10000)))*U39,$AA$11*E38)*10000),3*E38))</f>
        <v>0.03651358444299173</v>
      </c>
      <c r="S38" s="73">
        <f>IF(0.85*$E$3/$AB$7*(1-SQRT(1-2*Q38/(0.85*0.9*$E$3*V39^2*10000)))&gt;$AB$9,"Double",MIN(VLOOKUP($AB$5,$X$2:$Y$11,2)/(MAX(0.85*$E$3/$AB$7*(1-SQRT(1-2*Q38/(0.85*0.9*$E$3*V39^2*10000)))*V39,$AB$11*E38)*10000),3*E38))</f>
        <v>0.08015041189601096</v>
      </c>
      <c r="T38" s="74">
        <f>IF(0.85*$E$3/$AC$7*(1-SQRT(1-2*Q38/(0.85*0.9*$E$3*W39^2*10000)))&gt;$AC$9,"Double",MIN(VLOOKUP($AC$5,$X$2:$Y$11,2)/(MAX(0.85*$E$3/$AC$7*(1-SQRT(1-2*Q38/(0.85*0.9*$E$3*W39^2*10000)))*W39,$AC$11*E38)*10000),3*E38))</f>
        <v>0.173636140858747</v>
      </c>
    </row>
    <row r="39" spans="1:23" ht="23.25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75">
        <v>9</v>
      </c>
      <c r="L39" s="137"/>
      <c r="M39" s="118" t="s">
        <v>107</v>
      </c>
      <c r="N39" s="6">
        <f>VLOOKUP(K38,$BC$2:$BL$12,B38+1)+(K38-VLOOKUP(K38,$BC$2:$BL$12,1))*(VLOOKUP(K38+0.05,$BC$2:$BL$12,B38+1)-VLOOKUP(K38,$BC$2:$BL$12,B38+1))/0.05</f>
        <v>0.027</v>
      </c>
      <c r="O39" s="6">
        <f>VLOOKUP(K38,$BY$2:$CH$12,B38+1)+(K38-VLOOKUP(K38,$BY$2:$CH$12,1))*(VLOOKUP(K38+0.05,$BY$2:$CH$12,B38+1)-VLOOKUP(K38,$BY$2:$CH$12,B38+1))/0.05</f>
        <v>0.032</v>
      </c>
      <c r="P39" s="5" t="s">
        <v>79</v>
      </c>
      <c r="Q39" s="7">
        <f>N39*H38*C38^2+O39*I38*C38^2</f>
        <v>449.792</v>
      </c>
      <c r="R39" s="63">
        <f>IF(0.85*$E$3/$AA$7*(1-SQRT(1-2*Q39/(0.85*0.9*$E$3*U39^2*10000)))&gt;$AA$9,"Double",MIN(VLOOKUP($AA$5,$X$2:$Y$11,2)/(MAX(0.85*$E$3/$AA$7*(1-SQRT(1-2*Q39/(0.85*0.9*$E$3*U39^2*10000)))*U39,$AA$11*E38)*10000),3*E38))</f>
        <v>0.09504586808559211</v>
      </c>
      <c r="S39" s="64">
        <f>IF(0.85*$E$3/$AB$7*(1-SQRT(1-2*Q39/(0.85*0.9*$E$3*V39^2*10000)))&gt;$AB$9,"Double",MIN(VLOOKUP($AB$5,$X$2:$Y$11,2)/(MAX(0.85*$E$3/$AB$7*(1-SQRT(1-2*Q39/(0.85*0.9*$E$3*V39^2*10000)))*V39,$AB$11*E38)*10000),3*E38))</f>
        <v>0.20913273733372384</v>
      </c>
      <c r="T39" s="65">
        <f>IF(0.85*$E$3/$AC$7*(1-SQRT(1-2*Q39/(0.85*0.9*$E$3*W39^2*10000)))&gt;$AC$9,"Double",MIN(VLOOKUP($AC$5,$X$2:$Y$11,2)/(MAX(0.85*$E$3/$AC$7*(1-SQRT(1-2*Q39/(0.85*0.9*$E$3*W39^2*10000)))*W39,$AC$11*E38)*10000),3*E38))</f>
        <v>0.30000000000000004</v>
      </c>
      <c r="U39" s="82">
        <f>E38-$J$10-$AA$5/2000</f>
        <v>0.07200000000000001</v>
      </c>
      <c r="V39" s="82">
        <f>E38-$J$10-$AB$5/2000</f>
        <v>0.07050000000000001</v>
      </c>
      <c r="W39" s="82">
        <f>E38-$J$10-$AC$5/2000</f>
        <v>0.069</v>
      </c>
    </row>
    <row r="40" spans="1:20" ht="23.25">
      <c r="A40" s="121"/>
      <c r="B40" s="122"/>
      <c r="C40" s="123"/>
      <c r="D40" s="120"/>
      <c r="E40" s="120"/>
      <c r="F40" s="120"/>
      <c r="G40" s="120"/>
      <c r="H40" s="120"/>
      <c r="I40" s="120"/>
      <c r="J40" s="120"/>
      <c r="K40" s="120"/>
      <c r="L40" s="140"/>
      <c r="M40" s="124" t="s">
        <v>104</v>
      </c>
      <c r="N40" s="18" t="s">
        <v>79</v>
      </c>
      <c r="O40" s="18" t="s">
        <v>79</v>
      </c>
      <c r="P40" s="19">
        <f>IF(OR(OR(OR(OR(B38=2,B38=4),B38=5),B38=8),B38=9),VLOOKUP(K38,$AG$2:$AP$12,B38+1)+(K38-VLOOKUP(K38,$AG$2:$AP$12,1))*(VLOOKUP(K38+0.05,$AG$2:$AP$12,B38+1)-VLOOKUP(K38,$AG$2:$AP$12,B38+1))/0.05,"-")</f>
        <v>0.075</v>
      </c>
      <c r="Q40" s="20">
        <f>IF(P40&lt;&gt;0,P40*J38*C38^2,Q39/3)</f>
        <v>1117.2</v>
      </c>
      <c r="R40" s="66">
        <f>IF(0.85*$E$3/$AA$7*(1-SQRT(1-2*Q40/(0.85*0.9*$E$3*U39^2*10000)))&gt;$AA$9,"Double",MIN(VLOOKUP($AA$5,$X$2:$Y$11,2)/(MAX(0.85*$E$3/$AA$7*(1-SQRT(1-2*Q40/(0.85*0.9*$E$3*U39^2*10000)))*U39,$AA$11*E38)*10000),3*E38))</f>
        <v>0.03651358444299173</v>
      </c>
      <c r="S40" s="67">
        <f>IF(0.85*$E$3/$AB$7*(1-SQRT(1-2*Q40/(0.85*0.9*$E$3*V39^2*10000)))&gt;$AB$9,"Double",MIN(VLOOKUP($AB$5,$X$2:$Y$11,2)/(MAX(0.85*$E$3/$AB$7*(1-SQRT(1-2*Q40/(0.85*0.9*$E$3*V39^2*10000)))*V39,$AB$11*E38)*10000),3*E38))</f>
        <v>0.08015041189601096</v>
      </c>
      <c r="T40" s="68">
        <f>IF(0.85*$E$3/$AC$7*(1-SQRT(1-2*Q40/(0.85*0.9*$E$3*W39^2*10000)))&gt;$AC$9,"Double",MIN(VLOOKUP($AC$5,$X$2:$Y$11,2)/(MAX(0.85*$E$3/$AC$7*(1-SQRT(1-2*Q40/(0.85*0.9*$E$3*W39^2*10000)))*W39,$AC$11*E38)*10000),3*E38))</f>
        <v>0.173636140858747</v>
      </c>
    </row>
    <row r="41" spans="1:20" ht="23.25" customHeight="1">
      <c r="A41" s="121"/>
      <c r="B41" s="122"/>
      <c r="C41" s="123"/>
      <c r="D41" s="120"/>
      <c r="E41" s="120"/>
      <c r="F41" s="120"/>
      <c r="G41" s="120"/>
      <c r="H41" s="120"/>
      <c r="I41" s="120"/>
      <c r="J41" s="120"/>
      <c r="K41" s="120"/>
      <c r="L41" s="136" t="s">
        <v>114</v>
      </c>
      <c r="M41" s="118" t="s">
        <v>105</v>
      </c>
      <c r="N41" s="5" t="s">
        <v>79</v>
      </c>
      <c r="O41" s="5" t="s">
        <v>79</v>
      </c>
      <c r="P41" s="6" t="str">
        <f>IF(OR(OR(OR(OR(B38=2,B38=3),B38=4),B38=8),B38=9),VLOOKUP(K38,$AR$2:$BA$12,B38+1)+(K38-VLOOKUP(K38,$AR$2:$BA$12,1))*(VLOOKUP(K38+0.05,$AR$2:$BA$12,B38+1)-VLOOKUP(K38,$AR$2:$BA$12,B38+1))/0.05,"-")</f>
        <v>-</v>
      </c>
      <c r="Q41" s="7">
        <f>IF(P41&lt;&gt;0,P41*J38*D38^2,Q42/3)</f>
        <v>117.93599999999999</v>
      </c>
      <c r="R41" s="63">
        <f>IF(0.85*$E$3/$AA$7*(1-SQRT(1-2*Q41/(0.85*0.9*$E$3*U39^2*10000)))&gt;$AA$9,"Double",MIN(VLOOKUP($AA$5,$X$2:$Y$11,2)/(MAX(0.85*$E$3/$AA$7*(1-SQRT(1-2*Q41/(0.85*0.9*$E$3*U39^2*10000)))*U39,$AA$11*E38)*10000),3*E38))</f>
        <v>0.11309733552923255</v>
      </c>
      <c r="S41" s="64">
        <f>IF(0.85*$E$3/$AB$7*(1-SQRT(1-2*Q41/(0.85*0.9*$E$3*V39^2*10000)))&gt;$AB$9,"Double",MIN(VLOOKUP($AB$5,$X$2:$Y$11,2)/(MAX(0.85*$E$3/$AB$7*(1-SQRT(1-2*Q41/(0.85*0.9*$E$3*V39^2*10000)))*V39,$AB$11*E38)*10000),3*E38))</f>
        <v>0.2544690049407733</v>
      </c>
      <c r="T41" s="65">
        <f>IF(0.85*$E$3/$AC$7*(1-SQRT(1-2*Q41/(0.85*0.9*$E$3*W39^2*10000)))&gt;$AC$9,"Double",MIN(VLOOKUP($AC$5,$X$2:$Y$11,2)/(MAX(0.85*$E$3/$AC$7*(1-SQRT(1-2*Q41/(0.85*0.9*$E$3*W39^2*10000)))*W39,$AC$11*E38)*10000),3*E38))</f>
        <v>0.30000000000000004</v>
      </c>
    </row>
    <row r="42" spans="1:23" ht="23.25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3"/>
      <c r="L42" s="137"/>
      <c r="M42" s="118" t="s">
        <v>108</v>
      </c>
      <c r="N42" s="6">
        <f>VLOOKUP(K38,$BN$2:$BW$12,B38+1)+(K38-VLOOKUP(K38,$BN$2:$BW$12,1))*(VLOOKUP(K38+0.05,$BN$2:$BW$12,B38+1)-VLOOKUP(K38,$BN$2:$BW$12,B38+1))/0.05</f>
        <v>0.018</v>
      </c>
      <c r="O42" s="6">
        <f>VLOOKUP(K38,$CJ$2:$CS$12,B38+1)+(K38-VLOOKUP(K38,$CJ$2:$CS$12,1))*(VLOOKUP(K38+0.05,$CJ$2:$CS$12,B38+1)-VLOOKUP(K38,$CJ$2:$CS$12,B38+1))/0.05</f>
        <v>0.027</v>
      </c>
      <c r="P42" s="5" t="s">
        <v>79</v>
      </c>
      <c r="Q42" s="7">
        <f>N42*H38*D38^2+O42*I38*D38^2</f>
        <v>353.808</v>
      </c>
      <c r="R42" s="63">
        <f>IF(0.85*$E$3/$AA$7*(1-SQRT(1-2*Q42/(0.85*0.9*$E$3*U42^2*10000)))&gt;$AA$9,"Double",MIN(VLOOKUP($AA$5,$X$2:$Y$11,2)/(MAX(0.85*$E$3/$AA$7*(1-SQRT(1-2*Q42/(0.85*0.9*$E$3*U42^2*10000)))*U42,$AA$11*E38)*10000),3*E38))</f>
        <v>0.1056415991030604</v>
      </c>
      <c r="S42" s="64">
        <f>IF(0.85*$E$3/$AB$7*(1-SQRT(1-2*Q42/(0.85*0.9*$E$3*V42^2*10000)))&gt;$AB$9,"Double",MIN(VLOOKUP($AB$5,$X$2:$Y$11,2)/(MAX(0.85*$E$3/$AB$7*(1-SQRT(1-2*Q42/(0.85*0.9*$E$3*V42^2*10000)))*V42,$AB$11*E38)*10000),3*E38))</f>
        <v>0.23168666102595534</v>
      </c>
      <c r="T42" s="65">
        <f>IF(0.85*$E$3/$AC$7*(1-SQRT(1-2*Q42/(0.85*0.9*$E$3*W42^2*10000)))&gt;$AC$9,"Double",MIN(VLOOKUP($AC$5,$X$2:$Y$11,2)/(MAX(0.85*$E$3/$AC$7*(1-SQRT(1-2*Q42/(0.85*0.9*$E$3*W42^2*10000)))*W42,$AC$11*E38)*10000),3*E38))</f>
        <v>0.30000000000000004</v>
      </c>
      <c r="U42" s="82">
        <f>E38-$J$10-IF(K39=$AA$5,3*$AA$5/2,K39+$AA$5/2)/1000</f>
        <v>0.06300000000000001</v>
      </c>
      <c r="V42" s="82">
        <f>E38-$J$10-IF(K39=$AB$5,3*$AB$5/2,K39+$AB$5/2)/1000</f>
        <v>0.06150000000000001</v>
      </c>
      <c r="W42" s="82">
        <f>E38-$J$10-IF(K39=$AC$5,3*$AC$5/2,K39+$AC$5/2)/1000</f>
        <v>0.06000000000000001</v>
      </c>
    </row>
    <row r="43" spans="1:20" ht="23.25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38"/>
      <c r="M43" s="127" t="s">
        <v>106</v>
      </c>
      <c r="N43" s="8" t="s">
        <v>79</v>
      </c>
      <c r="O43" s="8" t="s">
        <v>79</v>
      </c>
      <c r="P43" s="9" t="str">
        <f>IF(OR(OR(OR(B38=2,B38=3),B38=7),B38=8),VLOOKUP(K38,$AR$2:$BA$12,B38+1)+(K38-VLOOKUP(K38,$AR$2:$BA$12,1))*(VLOOKUP(K38+0.05,$AR$2:$BA$12,B38+1)-VLOOKUP(K38,$AR$2:$BA$12,B38+1))/0.05,"-")</f>
        <v>-</v>
      </c>
      <c r="Q43" s="10">
        <f>IF(P43&lt;&gt;0,P43*J38*D38^2,Q42/3)</f>
        <v>117.93599999999999</v>
      </c>
      <c r="R43" s="69">
        <f>IF(0.85*$E$3/$AA$7*(1-SQRT(1-2*Q43/(0.85*0.9*$E$3*U39^2*10000)))&gt;$AA$9,"Double",MIN(VLOOKUP($AA$5,$X$2:$Y$11,2)/(MAX(0.85*$E$3/$AA$7*(1-SQRT(1-2*Q43/(0.85*0.9*$E$3*U39^2*10000)))*U39,$AA$11*E38)*10000),3*E38))</f>
        <v>0.11309733552923255</v>
      </c>
      <c r="S43" s="70">
        <f>IF(0.85*$E$3/$AB$7*(1-SQRT(1-2*Q43/(0.85*0.9*$E$3*V39^2*10000)))&gt;$AB$9,"Double",MIN(VLOOKUP($AB$5,$X$2:$Y$11,2)/(MAX(0.85*$E$3/$AB$7*(1-SQRT(1-2*Q43/(0.85*0.9*$E$3*V39^2*10000)))*V39,$AB$11*E38)*10000),3*E38))</f>
        <v>0.2544690049407733</v>
      </c>
      <c r="T43" s="71">
        <f>IF(0.85*$E$3/$AC$7*(1-SQRT(1-2*Q43/(0.85*0.9*$E$3*W39^2*10000)))&gt;$AC$9,"Double",MIN(VLOOKUP($AC$5,$X$2:$Y$11,2)/(MAX(0.85*$E$3/$AC$7*(1-SQRT(1-2*Q43/(0.85*0.9*$E$3*W39^2*10000)))*W39,$AC$11*E38)*10000),3*E38))</f>
        <v>0.30000000000000004</v>
      </c>
    </row>
    <row r="44" spans="1:20" ht="23.25" customHeight="1">
      <c r="A44" s="21" t="s">
        <v>102</v>
      </c>
      <c r="B44" s="23">
        <v>9</v>
      </c>
      <c r="C44" s="24">
        <v>4</v>
      </c>
      <c r="D44" s="25">
        <v>5</v>
      </c>
      <c r="E44" s="26">
        <f>E38</f>
        <v>0.1</v>
      </c>
      <c r="F44" s="17">
        <f>F38</f>
        <v>350</v>
      </c>
      <c r="G44" s="58">
        <f>IF(E44&lt;0.08,"t &lt; 0.08",IF(K44&lt;0.5,"1WSLAB",IF(C44&lt;=D44,IF((C44+D44)/90&lt;E44,"OK",(C44+D44)/90),"A&gt;B ?")))</f>
        <v>0.1</v>
      </c>
      <c r="H44" s="22">
        <f>$Q$9*2400*E44</f>
        <v>336</v>
      </c>
      <c r="I44" s="22">
        <f>$Q$10*F44</f>
        <v>595</v>
      </c>
      <c r="J44" s="22">
        <f>H44+I44</f>
        <v>931</v>
      </c>
      <c r="K44" s="51">
        <f>C44/D44</f>
        <v>0.8</v>
      </c>
      <c r="L44" s="139" t="s">
        <v>113</v>
      </c>
      <c r="M44" s="118" t="s">
        <v>103</v>
      </c>
      <c r="N44" s="5" t="s">
        <v>79</v>
      </c>
      <c r="O44" s="5" t="s">
        <v>79</v>
      </c>
      <c r="P44" s="6">
        <f>IF(OR(OR(OR(B44=2,B44=5),B44=6),B44=9),VLOOKUP(K44,$AG$2:$AP$12,B44+1)+(K44-VLOOKUP(K44,$AG$2:$AP$12,1))*(VLOOKUP(K44+0.05,$AG$2:$AP$12,B44+1)-VLOOKUP(K44,$AG$2:$AP$12,B44+1))/0.05,"-")</f>
        <v>0.075</v>
      </c>
      <c r="Q44" s="7">
        <f>IF(P44&lt;&gt;0,P44*J44*C44^2,Q45/3)</f>
        <v>1117.2</v>
      </c>
      <c r="R44" s="72">
        <f>IF(0.85*$E$3/$AA$7*(1-SQRT(1-2*Q44/(0.85*0.9*$E$3*U45^2*10000)))&gt;$AA$9,"Double",MIN(VLOOKUP($AA$5,$X$2:$Y$11,2)/(MAX(0.85*$E$3/$AA$7*(1-SQRT(1-2*Q44/(0.85*0.9*$E$3*U45^2*10000)))*U45,$AA$11*E44)*10000),3*E44))</f>
        <v>0.03651358444299173</v>
      </c>
      <c r="S44" s="73">
        <f>IF(0.85*$E$3/$AB$7*(1-SQRT(1-2*Q44/(0.85*0.9*$E$3*V45^2*10000)))&gt;$AB$9,"Double",MIN(VLOOKUP($AB$5,$X$2:$Y$11,2)/(MAX(0.85*$E$3/$AB$7*(1-SQRT(1-2*Q44/(0.85*0.9*$E$3*V45^2*10000)))*V45,$AB$11*E44)*10000),3*E44))</f>
        <v>0.08015041189601096</v>
      </c>
      <c r="T44" s="74">
        <f>IF(0.85*$E$3/$AC$7*(1-SQRT(1-2*Q44/(0.85*0.9*$E$3*W45^2*10000)))&gt;$AC$9,"Double",MIN(VLOOKUP($AC$5,$X$2:$Y$11,2)/(MAX(0.85*$E$3/$AC$7*(1-SQRT(1-2*Q44/(0.85*0.9*$E$3*W45^2*10000)))*W45,$AC$11*E44)*10000),3*E44))</f>
        <v>0.173636140858747</v>
      </c>
    </row>
    <row r="45" spans="1:23" ht="23.25">
      <c r="A45" s="119"/>
      <c r="B45" s="120"/>
      <c r="C45" s="120"/>
      <c r="D45" s="120"/>
      <c r="E45" s="120"/>
      <c r="F45" s="120"/>
      <c r="G45" s="120"/>
      <c r="H45" s="120"/>
      <c r="I45" s="120"/>
      <c r="J45" s="120"/>
      <c r="K45" s="75">
        <v>9</v>
      </c>
      <c r="L45" s="137"/>
      <c r="M45" s="118" t="s">
        <v>107</v>
      </c>
      <c r="N45" s="6">
        <f>VLOOKUP(K44,$BC$2:$BL$12,B44+1)+(K44-VLOOKUP(K44,$BC$2:$BL$12,1))*(VLOOKUP(K44+0.05,$BC$2:$BL$12,B44+1)-VLOOKUP(K44,$BC$2:$BL$12,B44+1))/0.05</f>
        <v>0.029</v>
      </c>
      <c r="O45" s="6">
        <f>VLOOKUP(K44,$BY$2:$CH$12,B44+1)+(K44-VLOOKUP(K44,$BY$2:$CH$12,1))*(VLOOKUP(K44+0.05,$BY$2:$CH$12,B44+1)-VLOOKUP(K44,$BY$2:$CH$12,B44+1))/0.05</f>
        <v>0.042</v>
      </c>
      <c r="P45" s="5" t="s">
        <v>79</v>
      </c>
      <c r="Q45" s="7">
        <f>N45*H44*C44^2+O45*I44*C44^2</f>
        <v>555.744</v>
      </c>
      <c r="R45" s="63">
        <f>IF(0.85*$E$3/$AA$7*(1-SQRT(1-2*Q45/(0.85*0.9*$E$3*U45^2*10000)))&gt;$AA$9,"Double",MIN(VLOOKUP($AA$5,$X$2:$Y$11,2)/(MAX(0.85*$E$3/$AA$7*(1-SQRT(1-2*Q45/(0.85*0.9*$E$3*U45^2*10000)))*U45,$AA$11*E44)*10000),3*E44))</f>
        <v>0.07638870261710826</v>
      </c>
      <c r="S45" s="64">
        <f>IF(0.85*$E$3/$AB$7*(1-SQRT(1-2*Q45/(0.85*0.9*$E$3*V45^2*10000)))&gt;$AB$9,"Double",MIN(VLOOKUP($AB$5,$X$2:$Y$11,2)/(MAX(0.85*$E$3/$AB$7*(1-SQRT(1-2*Q45/(0.85*0.9*$E$3*V45^2*10000)))*V45,$AB$11*E44)*10000),3*E44))</f>
        <v>0.1680247087124179</v>
      </c>
      <c r="T45" s="65">
        <f>IF(0.85*$E$3/$AC$7*(1-SQRT(1-2*Q45/(0.85*0.9*$E$3*W45^2*10000)))&gt;$AC$9,"Double",MIN(VLOOKUP($AC$5,$X$2:$Y$11,2)/(MAX(0.85*$E$3/$AC$7*(1-SQRT(1-2*Q45/(0.85*0.9*$E$3*W45^2*10000)))*W45,$AC$11*E44)*10000),3*E44))</f>
        <v>0.30000000000000004</v>
      </c>
      <c r="U45" s="82">
        <f>E44-$J$10-$AA$5/2000</f>
        <v>0.07200000000000001</v>
      </c>
      <c r="V45" s="82">
        <f>E44-$J$10-$AB$5/2000</f>
        <v>0.07050000000000001</v>
      </c>
      <c r="W45" s="82">
        <f>E44-$J$10-$AC$5/2000</f>
        <v>0.069</v>
      </c>
    </row>
    <row r="46" spans="1:20" ht="23.25">
      <c r="A46" s="121"/>
      <c r="B46" s="122"/>
      <c r="C46" s="123"/>
      <c r="D46" s="120"/>
      <c r="E46" s="120"/>
      <c r="F46" s="120"/>
      <c r="G46" s="120"/>
      <c r="H46" s="120"/>
      <c r="I46" s="120"/>
      <c r="J46" s="120"/>
      <c r="K46" s="120"/>
      <c r="L46" s="140"/>
      <c r="M46" s="124" t="s">
        <v>104</v>
      </c>
      <c r="N46" s="18" t="s">
        <v>79</v>
      </c>
      <c r="O46" s="18" t="s">
        <v>79</v>
      </c>
      <c r="P46" s="19">
        <f>IF(OR(OR(OR(OR(B44=2,B44=4),B44=5),B44=8),B44=9),VLOOKUP(K44,$AG$2:$AP$12,B44+1)+(K44-VLOOKUP(K44,$AG$2:$AP$12,1))*(VLOOKUP(K44+0.05,$AG$2:$AP$12,B44+1)-VLOOKUP(K44,$AG$2:$AP$12,B44+1))/0.05,"-")</f>
        <v>0.075</v>
      </c>
      <c r="Q46" s="20">
        <f>IF(P46&lt;&gt;0,P46*J44*C44^2,Q45/3)</f>
        <v>1117.2</v>
      </c>
      <c r="R46" s="66">
        <f>IF(0.85*$E$3/$AA$7*(1-SQRT(1-2*Q46/(0.85*0.9*$E$3*U45^2*10000)))&gt;$AA$9,"Double",MIN(VLOOKUP($AA$5,$X$2:$Y$11,2)/(MAX(0.85*$E$3/$AA$7*(1-SQRT(1-2*Q46/(0.85*0.9*$E$3*U45^2*10000)))*U45,$AA$11*E44)*10000),3*E44))</f>
        <v>0.03651358444299173</v>
      </c>
      <c r="S46" s="67">
        <f>IF(0.85*$E$3/$AB$7*(1-SQRT(1-2*Q46/(0.85*0.9*$E$3*V45^2*10000)))&gt;$AB$9,"Double",MIN(VLOOKUP($AB$5,$X$2:$Y$11,2)/(MAX(0.85*$E$3/$AB$7*(1-SQRT(1-2*Q46/(0.85*0.9*$E$3*V45^2*10000)))*V45,$AB$11*E44)*10000),3*E44))</f>
        <v>0.08015041189601096</v>
      </c>
      <c r="T46" s="68">
        <f>IF(0.85*$E$3/$AC$7*(1-SQRT(1-2*Q46/(0.85*0.9*$E$3*W45^2*10000)))&gt;$AC$9,"Double",MIN(VLOOKUP($AC$5,$X$2:$Y$11,2)/(MAX(0.85*$E$3/$AC$7*(1-SQRT(1-2*Q46/(0.85*0.9*$E$3*W45^2*10000)))*W45,$AC$11*E44)*10000),3*E44))</f>
        <v>0.173636140858747</v>
      </c>
    </row>
    <row r="47" spans="1:20" ht="23.25" customHeight="1">
      <c r="A47" s="121"/>
      <c r="B47" s="122"/>
      <c r="C47" s="123"/>
      <c r="D47" s="120"/>
      <c r="E47" s="120"/>
      <c r="F47" s="120"/>
      <c r="G47" s="120"/>
      <c r="H47" s="120"/>
      <c r="I47" s="120"/>
      <c r="J47" s="120"/>
      <c r="K47" s="120"/>
      <c r="L47" s="136" t="s">
        <v>114</v>
      </c>
      <c r="M47" s="118" t="s">
        <v>105</v>
      </c>
      <c r="N47" s="5" t="s">
        <v>79</v>
      </c>
      <c r="O47" s="5" t="s">
        <v>79</v>
      </c>
      <c r="P47" s="6">
        <f>IF(OR(OR(OR(OR(B44=2,B44=3),B44=4),B44=8),B44=9),VLOOKUP(K44,$AR$2:$BA$12,B44+1)+(K44-VLOOKUP(K44,$AR$2:$BA$12,1))*(VLOOKUP(K44+0.05,$AR$2:$BA$12,B44+1)-VLOOKUP(K44,$AR$2:$BA$12,B44+1))/0.05,"-")</f>
        <v>0.017</v>
      </c>
      <c r="Q47" s="7">
        <f>IF(P47&lt;&gt;0,P47*J44*D44^2,Q48/3)</f>
        <v>395.67500000000007</v>
      </c>
      <c r="R47" s="63">
        <f>IF(0.85*$E$3/$AA$7*(1-SQRT(1-2*Q47/(0.85*0.9*$E$3*U45^2*10000)))&gt;$AA$9,"Double",MIN(VLOOKUP($AA$5,$X$2:$Y$11,2)/(MAX(0.85*$E$3/$AA$7*(1-SQRT(1-2*Q47/(0.85*0.9*$E$3*U45^2*10000)))*U45,$AA$11*E44)*10000),3*E44))</f>
        <v>0.10842635009162216</v>
      </c>
      <c r="S47" s="64">
        <f>IF(0.85*$E$3/$AB$7*(1-SQRT(1-2*Q47/(0.85*0.9*$E$3*V45^2*10000)))&gt;$AB$9,"Double",MIN(VLOOKUP($AB$5,$X$2:$Y$11,2)/(MAX(0.85*$E$3/$AB$7*(1-SQRT(1-2*Q47/(0.85*0.9*$E$3*V45^2*10000)))*V45,$AB$11*E44)*10000),3*E44))</f>
        <v>0.23861356855643853</v>
      </c>
      <c r="T47" s="65">
        <f>IF(0.85*$E$3/$AC$7*(1-SQRT(1-2*Q47/(0.85*0.9*$E$3*W45^2*10000)))&gt;$AC$9,"Double",MIN(VLOOKUP($AC$5,$X$2:$Y$11,2)/(MAX(0.85*$E$3/$AC$7*(1-SQRT(1-2*Q47/(0.85*0.9*$E$3*W45^2*10000)))*W45,$AC$11*E44)*10000),3*E44))</f>
        <v>0.30000000000000004</v>
      </c>
    </row>
    <row r="48" spans="1:23" ht="23.25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3"/>
      <c r="L48" s="137"/>
      <c r="M48" s="118" t="s">
        <v>108</v>
      </c>
      <c r="N48" s="6">
        <f>VLOOKUP(K44,$BN$2:$BW$12,B44+1)+(K44-VLOOKUP(K44,$BN$2:$BW$12,1))*(VLOOKUP(K44+0.05,$BN$2:$BW$12,B44+1)-VLOOKUP(K44,$BN$2:$BW$12,B44+1))/0.05</f>
        <v>0.01</v>
      </c>
      <c r="O48" s="6">
        <f>VLOOKUP(K44,$CJ$2:$CS$12,B44+1)+(K44-VLOOKUP(K44,$CJ$2:$CS$12,1))*(VLOOKUP(K44+0.05,$CJ$2:$CS$12,B44+1)-VLOOKUP(K44,$CJ$2:$CS$12,B44+1))/0.05</f>
        <v>0.017</v>
      </c>
      <c r="P48" s="5" t="s">
        <v>79</v>
      </c>
      <c r="Q48" s="7">
        <f>N48*H44*D44^2+O48*I44*D44^2</f>
        <v>336.875</v>
      </c>
      <c r="R48" s="63">
        <f>IF(0.85*$E$3/$AA$7*(1-SQRT(1-2*Q48/(0.85*0.9*$E$3*U48^2*10000)))&gt;$AA$9,"Double",MIN(VLOOKUP($AA$5,$X$2:$Y$11,2)/(MAX(0.85*$E$3/$AA$7*(1-SQRT(1-2*Q48/(0.85*0.9*$E$3*U48^2*10000)))*U48,$AA$11*E44)*10000),3*E44))</f>
        <v>0.11111227125856414</v>
      </c>
      <c r="S48" s="64">
        <f>IF(0.85*$E$3/$AB$7*(1-SQRT(1-2*Q48/(0.85*0.9*$E$3*V48^2*10000)))&gt;$AB$9,"Double",MIN(VLOOKUP($AB$5,$X$2:$Y$11,2)/(MAX(0.85*$E$3/$AB$7*(1-SQRT(1-2*Q48/(0.85*0.9*$E$3*V48^2*10000)))*V48,$AB$11*E44)*10000),3*E44))</f>
        <v>0.24370366396328552</v>
      </c>
      <c r="T48" s="65">
        <f>IF(0.85*$E$3/$AC$7*(1-SQRT(1-2*Q48/(0.85*0.9*$E$3*W48^2*10000)))&gt;$AC$9,"Double",MIN(VLOOKUP($AC$5,$X$2:$Y$11,2)/(MAX(0.85*$E$3/$AC$7*(1-SQRT(1-2*Q48/(0.85*0.9*$E$3*W48^2*10000)))*W48,$AC$11*E44)*10000),3*E44))</f>
        <v>0.30000000000000004</v>
      </c>
      <c r="U48" s="82">
        <f>E44-$J$10-IF(K45=$AA$5,3*$AA$5/2,K45+$AA$5/2)/1000</f>
        <v>0.06300000000000001</v>
      </c>
      <c r="V48" s="82">
        <f>E44-$J$10-IF(K45=$AB$5,3*$AB$5/2,K45+$AB$5/2)/1000</f>
        <v>0.06150000000000001</v>
      </c>
      <c r="W48" s="82">
        <f>E44-$J$10-IF(K45=$AC$5,3*$AC$5/2,K45+$AC$5/2)/1000</f>
        <v>0.06000000000000001</v>
      </c>
    </row>
    <row r="49" spans="1:20" ht="23.25">
      <c r="A49" s="125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38"/>
      <c r="M49" s="127" t="s">
        <v>106</v>
      </c>
      <c r="N49" s="8" t="s">
        <v>79</v>
      </c>
      <c r="O49" s="8" t="s">
        <v>79</v>
      </c>
      <c r="P49" s="9" t="str">
        <f>IF(OR(OR(OR(B44=2,B44=3),B44=7),B44=8),VLOOKUP(K44,$AR$2:$BA$12,B44+1)+(K44-VLOOKUP(K44,$AR$2:$BA$12,1))*(VLOOKUP(K44+0.05,$AR$2:$BA$12,B44+1)-VLOOKUP(K44,$AR$2:$BA$12,B44+1))/0.05,"-")</f>
        <v>-</v>
      </c>
      <c r="Q49" s="10">
        <f>IF(P49&lt;&gt;0,P49*J44*D44^2,Q48/3)</f>
        <v>112.29166666666667</v>
      </c>
      <c r="R49" s="69">
        <f>IF(0.85*$E$3/$AA$7*(1-SQRT(1-2*Q49/(0.85*0.9*$E$3*U45^2*10000)))&gt;$AA$9,"Double",MIN(VLOOKUP($AA$5,$X$2:$Y$11,2)/(MAX(0.85*$E$3/$AA$7*(1-SQRT(1-2*Q49/(0.85*0.9*$E$3*U45^2*10000)))*U45,$AA$11*E44)*10000),3*E44))</f>
        <v>0.11309733552923255</v>
      </c>
      <c r="S49" s="70">
        <f>IF(0.85*$E$3/$AB$7*(1-SQRT(1-2*Q49/(0.85*0.9*$E$3*V45^2*10000)))&gt;$AB$9,"Double",MIN(VLOOKUP($AB$5,$X$2:$Y$11,2)/(MAX(0.85*$E$3/$AB$7*(1-SQRT(1-2*Q49/(0.85*0.9*$E$3*V45^2*10000)))*V45,$AB$11*E44)*10000),3*E44))</f>
        <v>0.2544690049407733</v>
      </c>
      <c r="T49" s="71">
        <f>IF(0.85*$E$3/$AC$7*(1-SQRT(1-2*Q49/(0.85*0.9*$E$3*W45^2*10000)))&gt;$AC$9,"Double",MIN(VLOOKUP($AC$5,$X$2:$Y$11,2)/(MAX(0.85*$E$3/$AC$7*(1-SQRT(1-2*Q49/(0.85*0.9*$E$3*W45^2*10000)))*W45,$AC$11*E44)*10000),3*E44))</f>
        <v>0.30000000000000004</v>
      </c>
    </row>
    <row r="50" spans="1:23" ht="23.2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</row>
    <row r="51" spans="1:23" ht="23.2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</row>
    <row r="52" spans="1:23" ht="23.2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</row>
    <row r="53" spans="1:23" ht="23.2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</row>
    <row r="54" spans="1:23" ht="23.2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</row>
    <row r="55" ht="23.25">
      <c r="A55" s="83"/>
    </row>
  </sheetData>
  <sheetProtection password="EC60" sheet="1" objects="1" scenarios="1" selectLockedCells="1"/>
  <mergeCells count="17">
    <mergeCell ref="L38:L40"/>
    <mergeCell ref="L41:L43"/>
    <mergeCell ref="L44:L46"/>
    <mergeCell ref="L47:L49"/>
    <mergeCell ref="L26:L28"/>
    <mergeCell ref="L29:L31"/>
    <mergeCell ref="L32:L34"/>
    <mergeCell ref="L35:L37"/>
    <mergeCell ref="Q5:R5"/>
    <mergeCell ref="A11:B11"/>
    <mergeCell ref="C11:D11"/>
    <mergeCell ref="N12:O12"/>
    <mergeCell ref="L23:L25"/>
    <mergeCell ref="L14:L16"/>
    <mergeCell ref="L17:L19"/>
    <mergeCell ref="L12:M12"/>
    <mergeCell ref="L20:L22"/>
  </mergeCells>
  <conditionalFormatting sqref="R15 R27 R33 R21 R39 R45">
    <cfRule type="expression" priority="1" dxfId="4" stopIfTrue="1">
      <formula>$K15=$AA$5</formula>
    </cfRule>
  </conditionalFormatting>
  <conditionalFormatting sqref="S15 S27 S33 S21 S39 S45">
    <cfRule type="expression" priority="2" dxfId="4" stopIfTrue="1">
      <formula>$K15=$AB$5</formula>
    </cfRule>
  </conditionalFormatting>
  <conditionalFormatting sqref="T15 T27 T33 T21 T39 T45">
    <cfRule type="expression" priority="3" dxfId="4" stopIfTrue="1">
      <formula>$K15=$AC$5</formula>
    </cfRule>
  </conditionalFormatting>
  <conditionalFormatting sqref="G14 G20 G26 G32 G38 G44">
    <cfRule type="expression" priority="4" dxfId="5" stopIfTrue="1">
      <formula>OR(R14="Double",S14="Double",T14="Double",R15="Double",S15="Double",T15="Double",R16="Double",S16="Double",T16="Double",R17="Double",S17="Double",T17="Double",R18="Double",S18="Double",T18="Double",R19="Double",S19="Double",T19="Double")=TRUE()</formula>
    </cfRule>
  </conditionalFormatting>
  <printOptions horizontalCentered="1"/>
  <pageMargins left="0.9448818897637796" right="0.35433070866141736" top="0.5905511811023623" bottom="0.3937007874015748" header="0" footer="0"/>
  <pageSetup fitToHeight="1" fitToWidth="1" horizontalDpi="300" verticalDpi="300" orientation="portrait" paperSize="9" scale="64" r:id="rId3"/>
  <rowBreaks count="1" manualBreakCount="1">
    <brk id="54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zoomScale="74" zoomScaleNormal="74" zoomScalePageLayoutView="0" workbookViewId="0" topLeftCell="A1">
      <selection activeCell="IV65536" sqref="IV65536"/>
    </sheetView>
  </sheetViews>
  <sheetFormatPr defaultColWidth="9.140625" defaultRowHeight="23.25"/>
  <cols>
    <col min="1" max="1" width="6.7109375" style="13" customWidth="1"/>
    <col min="2" max="2" width="1.421875" style="13" customWidth="1"/>
    <col min="3" max="3" width="11.140625" style="13" customWidth="1"/>
    <col min="4" max="4" width="1.421875" style="13" customWidth="1"/>
    <col min="5" max="5" width="6.7109375" style="13" customWidth="1"/>
    <col min="6" max="6" width="1.421875" style="13" customWidth="1"/>
    <col min="7" max="7" width="11.140625" style="13" customWidth="1"/>
    <col min="8" max="8" width="1.421875" style="13" customWidth="1"/>
    <col min="9" max="9" width="6.7109375" style="13" customWidth="1"/>
    <col min="10" max="10" width="1.421875" style="13" customWidth="1"/>
    <col min="11" max="11" width="11.140625" style="13" customWidth="1"/>
    <col min="12" max="12" width="1.421875" style="13" customWidth="1"/>
    <col min="13" max="13" width="6.7109375" style="13" customWidth="1"/>
    <col min="14" max="14" width="1.421875" style="13" customWidth="1"/>
    <col min="15" max="15" width="11.140625" style="13" customWidth="1"/>
    <col min="16" max="16" width="1.421875" style="13" customWidth="1"/>
    <col min="17" max="17" width="6.7109375" style="13" customWidth="1"/>
    <col min="18" max="18" width="1.421875" style="13" customWidth="1"/>
    <col min="19" max="19" width="11.140625" style="13" customWidth="1"/>
    <col min="20" max="20" width="1.421875" style="13" customWidth="1"/>
    <col min="21" max="21" width="6.7109375" style="13" customWidth="1"/>
    <col min="22" max="22" width="1.421875" style="13" customWidth="1"/>
    <col min="23" max="23" width="11.140625" style="13" customWidth="1"/>
    <col min="24" max="24" width="1.421875" style="13" customWidth="1"/>
    <col min="25" max="25" width="6.7109375" style="13" customWidth="1"/>
    <col min="26" max="26" width="1.421875" style="13" customWidth="1"/>
    <col min="27" max="27" width="11.140625" style="13" customWidth="1"/>
    <col min="28" max="28" width="1.421875" style="13" customWidth="1"/>
    <col min="29" max="29" width="6.7109375" style="13" customWidth="1"/>
    <col min="30" max="30" width="1.421875" style="13" customWidth="1"/>
    <col min="31" max="31" width="11.140625" style="13" customWidth="1"/>
    <col min="32" max="32" width="1.421875" style="13" customWidth="1"/>
    <col min="33" max="33" width="6.7109375" style="13" customWidth="1"/>
    <col min="34" max="34" width="1.421875" style="13" customWidth="1"/>
    <col min="35" max="35" width="11.140625" style="13" customWidth="1"/>
    <col min="36" max="36" width="1.421875" style="13" customWidth="1"/>
    <col min="37" max="16384" width="9.140625" style="13" customWidth="1"/>
  </cols>
  <sheetData>
    <row r="1" spans="3:35" s="11" customFormat="1" ht="35.25" customHeight="1">
      <c r="C1" s="12">
        <v>1</v>
      </c>
      <c r="G1" s="12">
        <v>2</v>
      </c>
      <c r="K1" s="12">
        <v>3</v>
      </c>
      <c r="O1" s="12">
        <v>4</v>
      </c>
      <c r="S1" s="12">
        <v>5</v>
      </c>
      <c r="W1" s="12">
        <v>6</v>
      </c>
      <c r="AA1" s="12">
        <v>7</v>
      </c>
      <c r="AE1" s="12">
        <v>8</v>
      </c>
      <c r="AI1" s="12">
        <v>9</v>
      </c>
    </row>
    <row r="2" spans="6:35" ht="7.5" customHeight="1" thickBot="1">
      <c r="F2" s="14"/>
      <c r="G2" s="14"/>
      <c r="H2" s="14"/>
      <c r="S2" s="14"/>
      <c r="W2" s="14"/>
      <c r="AH2" s="14"/>
      <c r="AI2" s="14"/>
    </row>
    <row r="3" spans="1:35" ht="39.75" customHeight="1" thickBot="1">
      <c r="A3" s="129"/>
      <c r="C3" s="15"/>
      <c r="F3" s="14"/>
      <c r="G3" s="15"/>
      <c r="H3" s="14"/>
      <c r="J3" s="14"/>
      <c r="K3" s="15"/>
      <c r="L3" s="14"/>
      <c r="N3" s="14"/>
      <c r="O3" s="15"/>
      <c r="S3" s="15"/>
      <c r="W3" s="15"/>
      <c r="AA3" s="15"/>
      <c r="AB3" s="14"/>
      <c r="AD3" s="14"/>
      <c r="AE3" s="15"/>
      <c r="AF3" s="14"/>
      <c r="AH3" s="14"/>
      <c r="AI3" s="15"/>
    </row>
    <row r="4" spans="6:35" ht="7.5" customHeight="1">
      <c r="F4" s="14"/>
      <c r="G4" s="14"/>
      <c r="H4" s="14"/>
      <c r="N4" s="14"/>
      <c r="O4" s="14"/>
      <c r="S4" s="14"/>
      <c r="AD4" s="14"/>
      <c r="AE4" s="14"/>
      <c r="AF4" s="14"/>
      <c r="AH4" s="14"/>
      <c r="AI4" s="14"/>
    </row>
    <row r="5" ht="23.25">
      <c r="C5" s="28"/>
    </row>
    <row r="6" ht="24" thickBot="1">
      <c r="I6" s="29"/>
    </row>
    <row r="7" spans="9:27" ht="34.5">
      <c r="I7" s="47"/>
      <c r="K7" s="30"/>
      <c r="L7" s="31"/>
      <c r="M7" s="31"/>
      <c r="N7" s="31"/>
      <c r="O7" s="31"/>
      <c r="P7" s="31"/>
      <c r="Q7" s="31"/>
      <c r="R7" s="31"/>
      <c r="S7" s="42">
        <v>1</v>
      </c>
      <c r="T7" s="31"/>
      <c r="U7" s="31"/>
      <c r="V7" s="31"/>
      <c r="W7" s="31"/>
      <c r="X7" s="31"/>
      <c r="Y7" s="31"/>
      <c r="Z7" s="31"/>
      <c r="AA7" s="32"/>
    </row>
    <row r="8" spans="9:27" ht="23.25">
      <c r="I8" s="16"/>
      <c r="K8" s="33"/>
      <c r="L8" s="16"/>
      <c r="M8" s="16"/>
      <c r="N8" s="16"/>
      <c r="O8" s="16"/>
      <c r="P8" s="16"/>
      <c r="Q8" s="16"/>
      <c r="R8" s="16"/>
      <c r="S8" s="43"/>
      <c r="T8" s="16"/>
      <c r="U8" s="16"/>
      <c r="V8" s="16"/>
      <c r="W8" s="16"/>
      <c r="X8" s="16"/>
      <c r="Y8" s="16"/>
      <c r="Z8" s="16"/>
      <c r="AA8" s="34"/>
    </row>
    <row r="9" spans="9:27" ht="23.25">
      <c r="I9" s="16"/>
      <c r="K9" s="33"/>
      <c r="L9" s="16"/>
      <c r="M9" s="16"/>
      <c r="N9" s="16"/>
      <c r="O9" s="16"/>
      <c r="P9" s="16"/>
      <c r="Q9" s="16"/>
      <c r="R9" s="16"/>
      <c r="S9" s="43"/>
      <c r="T9" s="16"/>
      <c r="U9" s="16"/>
      <c r="V9" s="16"/>
      <c r="W9" s="16"/>
      <c r="X9" s="16"/>
      <c r="Y9" s="16"/>
      <c r="Z9" s="16"/>
      <c r="AA9" s="34"/>
    </row>
    <row r="10" spans="9:27" ht="23.25">
      <c r="I10" s="16"/>
      <c r="K10" s="33"/>
      <c r="L10" s="16"/>
      <c r="M10" s="16"/>
      <c r="N10" s="16"/>
      <c r="O10" s="16"/>
      <c r="P10" s="16"/>
      <c r="Q10" s="16"/>
      <c r="R10" s="16"/>
      <c r="S10" s="43"/>
      <c r="T10" s="16"/>
      <c r="U10" s="16"/>
      <c r="V10" s="16"/>
      <c r="W10" s="16"/>
      <c r="X10" s="16"/>
      <c r="Y10" s="16"/>
      <c r="Z10" s="16"/>
      <c r="AA10" s="34"/>
    </row>
    <row r="11" spans="9:27" ht="23.25">
      <c r="I11" s="16"/>
      <c r="K11" s="33"/>
      <c r="L11" s="16"/>
      <c r="M11" s="16"/>
      <c r="N11" s="16"/>
      <c r="O11" s="16"/>
      <c r="P11" s="16"/>
      <c r="Q11" s="16"/>
      <c r="R11" s="16"/>
      <c r="S11" s="43"/>
      <c r="T11" s="16"/>
      <c r="U11" s="16"/>
      <c r="V11" s="16"/>
      <c r="W11" s="16"/>
      <c r="X11" s="16"/>
      <c r="Y11" s="16"/>
      <c r="Z11" s="16"/>
      <c r="AA11" s="34"/>
    </row>
    <row r="12" spans="9:27" ht="35.25" thickBot="1">
      <c r="I12" s="16"/>
      <c r="K12" s="33"/>
      <c r="L12" s="16"/>
      <c r="M12" s="16"/>
      <c r="N12" s="16"/>
      <c r="O12" s="16"/>
      <c r="P12" s="16"/>
      <c r="Q12" s="16"/>
      <c r="R12" s="16"/>
      <c r="S12" s="44">
        <v>2</v>
      </c>
      <c r="T12" s="16"/>
      <c r="U12" s="16"/>
      <c r="V12" s="16"/>
      <c r="W12" s="16"/>
      <c r="X12" s="16"/>
      <c r="Y12" s="16"/>
      <c r="Z12" s="16"/>
      <c r="AA12" s="34"/>
    </row>
    <row r="13" spans="9:27" ht="35.25" thickBot="1">
      <c r="I13" s="16"/>
      <c r="K13" s="38" t="s">
        <v>111</v>
      </c>
      <c r="L13" s="39"/>
      <c r="M13" s="39"/>
      <c r="N13" s="39"/>
      <c r="O13" s="39"/>
      <c r="P13" s="39"/>
      <c r="Q13" s="40">
        <v>5</v>
      </c>
      <c r="R13" s="39"/>
      <c r="S13" s="45"/>
      <c r="T13" s="39"/>
      <c r="U13" s="39"/>
      <c r="V13" s="39"/>
      <c r="W13" s="39"/>
      <c r="X13" s="39"/>
      <c r="Y13" s="39"/>
      <c r="Z13" s="39"/>
      <c r="AA13" s="41" t="s">
        <v>112</v>
      </c>
    </row>
    <row r="14" spans="9:27" ht="23.25">
      <c r="I14" s="16"/>
      <c r="K14" s="33"/>
      <c r="L14" s="16"/>
      <c r="M14" s="16"/>
      <c r="N14" s="16"/>
      <c r="O14" s="16"/>
      <c r="P14" s="16"/>
      <c r="Q14" s="16"/>
      <c r="R14" s="16"/>
      <c r="S14" s="43"/>
      <c r="T14" s="16"/>
      <c r="U14" s="16"/>
      <c r="V14" s="16"/>
      <c r="W14" s="16"/>
      <c r="X14" s="16"/>
      <c r="Y14" s="16"/>
      <c r="Z14" s="16"/>
      <c r="AA14" s="34"/>
    </row>
    <row r="15" spans="9:27" ht="23.25">
      <c r="I15" s="16"/>
      <c r="K15" s="33"/>
      <c r="L15" s="16"/>
      <c r="M15" s="16"/>
      <c r="N15" s="16"/>
      <c r="O15" s="16"/>
      <c r="P15" s="16"/>
      <c r="Q15" s="16"/>
      <c r="R15" s="16"/>
      <c r="S15" s="43"/>
      <c r="T15" s="16"/>
      <c r="U15" s="16"/>
      <c r="V15" s="16"/>
      <c r="W15" s="16"/>
      <c r="X15" s="16"/>
      <c r="Y15" s="16"/>
      <c r="Z15" s="16"/>
      <c r="AA15" s="34"/>
    </row>
    <row r="16" spans="9:27" ht="23.25">
      <c r="I16" s="16"/>
      <c r="K16" s="33"/>
      <c r="L16" s="16"/>
      <c r="M16" s="16"/>
      <c r="N16" s="16"/>
      <c r="O16" s="16"/>
      <c r="P16" s="16"/>
      <c r="Q16" s="16"/>
      <c r="R16" s="16"/>
      <c r="S16" s="43"/>
      <c r="T16" s="16"/>
      <c r="U16" s="16"/>
      <c r="V16" s="16"/>
      <c r="W16" s="16"/>
      <c r="X16" s="16"/>
      <c r="Y16" s="16"/>
      <c r="Z16" s="16"/>
      <c r="AA16" s="34"/>
    </row>
    <row r="17" spans="9:27" ht="23.25">
      <c r="I17" s="16"/>
      <c r="K17" s="33"/>
      <c r="L17" s="16"/>
      <c r="M17" s="16"/>
      <c r="N17" s="16"/>
      <c r="O17" s="16"/>
      <c r="P17" s="16"/>
      <c r="Q17" s="16"/>
      <c r="R17" s="16"/>
      <c r="S17" s="43"/>
      <c r="T17" s="16"/>
      <c r="U17" s="16"/>
      <c r="V17" s="16"/>
      <c r="W17" s="16"/>
      <c r="X17" s="16"/>
      <c r="Y17" s="16"/>
      <c r="Z17" s="16"/>
      <c r="AA17" s="34"/>
    </row>
    <row r="18" spans="9:27" ht="23.25">
      <c r="I18" s="16"/>
      <c r="K18" s="33"/>
      <c r="L18" s="16"/>
      <c r="M18" s="16"/>
      <c r="N18" s="16"/>
      <c r="O18" s="16"/>
      <c r="P18" s="16"/>
      <c r="Q18" s="16"/>
      <c r="R18" s="16"/>
      <c r="S18" s="43"/>
      <c r="T18" s="16"/>
      <c r="U18" s="16"/>
      <c r="V18" s="16"/>
      <c r="W18" s="16"/>
      <c r="X18" s="16"/>
      <c r="Y18" s="16"/>
      <c r="Z18" s="16"/>
      <c r="AA18" s="34"/>
    </row>
    <row r="19" spans="9:27" ht="35.25" thickBot="1">
      <c r="I19" s="48"/>
      <c r="K19" s="35"/>
      <c r="L19" s="36"/>
      <c r="M19" s="36"/>
      <c r="N19" s="36"/>
      <c r="O19" s="36"/>
      <c r="P19" s="36"/>
      <c r="Q19" s="36"/>
      <c r="R19" s="36"/>
      <c r="S19" s="46">
        <v>3</v>
      </c>
      <c r="T19" s="36"/>
      <c r="U19" s="36"/>
      <c r="V19" s="36"/>
      <c r="W19" s="36"/>
      <c r="X19" s="36"/>
      <c r="Y19" s="36"/>
      <c r="Z19" s="36"/>
      <c r="AA19" s="37"/>
    </row>
    <row r="20" ht="6" customHeight="1"/>
    <row r="21" spans="11:27" ht="23.25">
      <c r="K21" s="49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50"/>
    </row>
    <row r="22" spans="11:27" ht="9.75" customHeight="1">
      <c r="K22" s="49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50"/>
    </row>
  </sheetData>
  <sheetProtection password="EC60" sheet="1" objects="1" scenarios="1" selectLockedCells="1" selectUnlockedCells="1"/>
  <printOptions/>
  <pageMargins left="0.75" right="0.75" top="1" bottom="1" header="0.5" footer="0.5"/>
  <pageSetup fitToHeight="1" fitToWidth="1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J.Natavit</dc:creator>
  <cp:keywords/>
  <dc:description/>
  <cp:lastModifiedBy>Natavit</cp:lastModifiedBy>
  <cp:lastPrinted>2010-03-11T03:51:26Z</cp:lastPrinted>
  <dcterms:created xsi:type="dcterms:W3CDTF">2002-09-04T13:50:01Z</dcterms:created>
  <dcterms:modified xsi:type="dcterms:W3CDTF">2010-03-11T14:37:24Z</dcterms:modified>
  <cp:category/>
  <cp:version/>
  <cp:contentType/>
  <cp:contentStatus/>
</cp:coreProperties>
</file>