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'Sheet1'!$A$1:$D$194</definedName>
  </definedNames>
  <calcPr fullCalcOnLoad="1"/>
</workbook>
</file>

<file path=xl/sharedStrings.xml><?xml version="1.0" encoding="utf-8"?>
<sst xmlns="http://schemas.openxmlformats.org/spreadsheetml/2006/main" count="315" uniqueCount="210">
  <si>
    <t>A</t>
  </si>
  <si>
    <t>B</t>
  </si>
  <si>
    <t>C</t>
  </si>
  <si>
    <t>D</t>
  </si>
  <si>
    <t>รายการ</t>
  </si>
  <si>
    <t>หน่วย</t>
  </si>
  <si>
    <t>ค่า</t>
  </si>
  <si>
    <t>การออกแบบแผ่นพื้นคอนกรีตอัดแรงสำเร็จรูปสี่เหลี่ยมตัน (solid plank)</t>
  </si>
  <si>
    <t>เตรียมข้อมูลขั้นต้น</t>
  </si>
  <si>
    <t>ความยาวของแผ่นพื้น , L</t>
  </si>
  <si>
    <t>m</t>
  </si>
  <si>
    <t>ความกว้างของแผ่นพื้น, b = bw</t>
  </si>
  <si>
    <t>cm</t>
  </si>
  <si>
    <t>ความหนาของแผ่นพื้น, h</t>
  </si>
  <si>
    <t>ความหนาของคอนกรีตทับหน้า, ht</t>
  </si>
  <si>
    <t>กำลังของคอนกรีตขณะถ่ายแรง,fci'</t>
  </si>
  <si>
    <t>ksc</t>
  </si>
  <si>
    <t>กำลังของคอนกรีตขณะใช้งาน , fc'</t>
  </si>
  <si>
    <t>กำลังของคอนกรีตทับหน้า, fct'</t>
  </si>
  <si>
    <t>น้ำหนักบรรทุกคงที่เพิ่มเติม, wD'</t>
  </si>
  <si>
    <t>kg/m2</t>
  </si>
  <si>
    <t>น้ำหนักบรรทุกจร, wL</t>
  </si>
  <si>
    <t>การสูญเสียแรงดึงขณะถ่ายแรง</t>
  </si>
  <si>
    <t>%</t>
  </si>
  <si>
    <t>การสูญเสียแรงดึงขณะใช้งาน</t>
  </si>
  <si>
    <t>หน่วยแรงที่ยอมให้ตามมาตรฐาน ว.ส.ท.</t>
  </si>
  <si>
    <t>ขณะถ่ายแรง , แรงอัด Fci = 0.6fci'</t>
  </si>
  <si>
    <t>ขณะถ่ายแรง , แรงดึง Fti = -0.8Sqrt(fci')</t>
  </si>
  <si>
    <t>ขณะใช้งาน , แรงอัด Fc = 0.45fc'</t>
  </si>
  <si>
    <t>ขณะใช้งาน , แรงดึง Ft = -1.6Sqrt(fc')</t>
  </si>
  <si>
    <t>อัตราส่วนโมดูลัสยืดหยุ่นของคอนกรีตทับหน้าต่อคอนกรีตอัดแรง</t>
  </si>
  <si>
    <t>nc = Ec/Ecp = 15200Sqrt(fct')/15200Sqrt(fc') =</t>
  </si>
  <si>
    <t>ความกว้างแปลงของคอนกรีตทับหน้า btr=ncbe</t>
  </si>
  <si>
    <t>ตำแหน่งของเซนทรอยด์ของหน้าตัดแปลงวัดจากผิวบนของคอนกรีตทับหน้า</t>
  </si>
  <si>
    <t>y1=Sum(Ay)/Sum(A) =</t>
  </si>
  <si>
    <t>ตำแหน่งเซนทรอยด์ของหน้าตัดแปลงห่างขอบบนของคอนกรีตอัดแรง</t>
  </si>
  <si>
    <t>y2 = y1 - ht</t>
  </si>
  <si>
    <t>ตำแหน่งเซนทรอยด์ของหน้าตัดแปลงห่างจากขอบล่างของคอนกรีตอัดแรง</t>
  </si>
  <si>
    <t>y3 = h - y2</t>
  </si>
  <si>
    <t>ตำแหน่งของเซนทรอยด์ของคอนกรีตอัดแรงห่างขอบบน-ล่าง ct=cb=h/2</t>
  </si>
  <si>
    <t>โมเมนต์อินเนอร์เชียของคอนกรีตอัดแรง I = bw.h3/12</t>
  </si>
  <si>
    <t>cm4</t>
  </si>
  <si>
    <t>โมดูลัสหน้าตัดของคอนกรีตอัดแรง, Zt = Zb = I/c</t>
  </si>
  <si>
    <t>cm3</t>
  </si>
  <si>
    <t>เนื้อที่หน้าตัดของคอนกรีตอัดแรง A = bh</t>
  </si>
  <si>
    <t>cm2</t>
  </si>
  <si>
    <t>โมเมนต์อินเนอร์เชียของหน้าตัดแปลง I'</t>
  </si>
  <si>
    <t>โมดูลัสหน้าตัดของหน้าตัดแปลงของขอบบนคอนกรีตอัดแรง Zt' = I'/y2</t>
  </si>
  <si>
    <t>โมดูลัสหน้าตัดของหน้าตัดแปลงของขอบล่างคอนกรีตอัดแรง Zb' = I'/y3</t>
  </si>
  <si>
    <t>อัตราส่วน mt =Zt/Zt'</t>
  </si>
  <si>
    <t>อัตราส่วน mb = Zb/Zb'</t>
  </si>
  <si>
    <t>kg</t>
  </si>
  <si>
    <t>แรงดึงขณะถ่ายแรง Pi = (1-Loss1/100)Pj = K1.Pj, ค่า K1</t>
  </si>
  <si>
    <t>แรงดึงขณะใช้งาน Pe = (1-Loss2/100)Pj = K2.Pj, ค่า K2</t>
  </si>
  <si>
    <t>อัตราส่วน R = Pe/Pi = K2/K1</t>
  </si>
  <si>
    <t>น้ำหนักของคอนกรีตอัดแรง wG = 2400bh</t>
  </si>
  <si>
    <t>kg/m</t>
  </si>
  <si>
    <t>น้ำหนักของคอนกรีตทับหน้า wS = 2400bht</t>
  </si>
  <si>
    <t xml:space="preserve">น้ำหนักบรรทุกคงที่เพิ่มเติม, wD' = </t>
  </si>
  <si>
    <t>น้ำหนักบรรทุกจร, wL =</t>
  </si>
  <si>
    <t>แรงดัดจากคอนกรีตอัดแรง MG = wG*L2/8</t>
  </si>
  <si>
    <t>kg.cm</t>
  </si>
  <si>
    <t>แรงดัดจากคอนกรีตทับหน้า MS = wS*L2/8</t>
  </si>
  <si>
    <t>แรงดัดจากน้ำหนักบรรทุกคงที่เพิ่มเติม, MD' = wD'*L2/8</t>
  </si>
  <si>
    <t>แรงดัดจากน้ำหนักบรรทุกจร , ML = wL*L2/8</t>
  </si>
  <si>
    <t>ตรวจสอบโมดูลัสหน้าตัดบน Ztmin=((1-R)MG+MS+mt(MD'+ML))/(Fc-RFti)</t>
  </si>
  <si>
    <t>ตรวจสอบพบว่า 1. Ztmin&lt;Zt ใช้ได้, 2. Ztmin&gt;Zt ใช้ไม่ได้</t>
  </si>
  <si>
    <t>ตรวจสอบโมดูลัสหน้าตัดล่าง Zbmin=((1-R)MG+MS+mb(MD'+ML))/(RFci-Ft)</t>
  </si>
  <si>
    <t>ตรวจสอบพบว่า 1. Zbmin&lt;Zb ใช้ได้ , 2. Zbmin &gt; Zb ใช้ไม่ได้</t>
  </si>
  <si>
    <t>ออกแบบแรงอัดและระยะเยื้องศูนย์ e</t>
  </si>
  <si>
    <t>สมการ 8.18 1/Pi&gt;=(Ae/Zt-1)/A(-Fti+MG/Zt), เทอม A/Zt =</t>
  </si>
  <si>
    <t>สมการ 8.18 เทอม A(-Fti+MG/Zt) =</t>
  </si>
  <si>
    <t>สมการ 8.19 1/Pi&gt;=(Ae/Zb+1)/A(Fci+MG/Zb), เทอม A/Zb =</t>
  </si>
  <si>
    <t>สมการ 8.19 เทอม A(Fci+MG/Zb) =</t>
  </si>
  <si>
    <t>MT'=MG+MS+mt(MD'+ML) =</t>
  </si>
  <si>
    <t>MT'/Zt</t>
  </si>
  <si>
    <t>ตรวจสอบพบว่า 1. MT'/Zt&gt;Fc ใช้ 8.20.1, 2. MT'/Zt&lt;Fc ใช้ 8.20.2</t>
  </si>
  <si>
    <t>สมการ 8.20.1 , 1/Pi&lt;=(Ae/Zt-1)/(A/R)(-Fc+MT'/Zt), เทอม A/Zt</t>
  </si>
  <si>
    <t>สมการ 8.20.1 , 1/Pi&lt;=(Ae/Zt-1)/(A/R)(-Fc+MT'/Zt), เทอม (A/R)(-Fc+MT'/Zt)=</t>
  </si>
  <si>
    <t>สมการ 8.20.2 , 1/Pi&gt;=(Ae/Zt-1)/(A/R)(-Fc+MT'/Zt), เทอม A/Zt</t>
  </si>
  <si>
    <t>สมการ 8.20.2 , 1/Pi&gt;=(Ae/Zt-1)/(A/R)(-Fc+MT'/Zt), เทอม (A/R)(-Fc+MT'/Zt)=</t>
  </si>
  <si>
    <t>กรณีนี้ใช้สมการ</t>
  </si>
  <si>
    <t>MB'=MG+MS+mb(MD'+ML) =</t>
  </si>
  <si>
    <t>สมการ 8.21, 1/Pi&lt;=(Ae/Zb+1)/(A/R)(Ft+MB'/Zb) เทอม A/Zb =</t>
  </si>
  <si>
    <t>สมการ 8.21, 1/Pi&lt;=(Ae/Zb+1)/(A/R)(Ft+MB'/Zb) เทอม (A/R)(Ft+MB'/Zb) =</t>
  </si>
  <si>
    <t>แก้สมการ 8.21 กับ 8.18 ได้ emax =</t>
  </si>
  <si>
    <t>แก้สมการ 8.21 กับ 8.20.1 หรือ 8.20.2 ได้ emin=</t>
  </si>
  <si>
    <t>ระยะเยื้องศูนย์เฉลี่ย eav=(emax+emin)/2 =</t>
  </si>
  <si>
    <t xml:space="preserve">เลือกค่า e น้อยที่สุดไม่ให้ปลายพื้นหักจากการเยื้องศูนย์ , e = </t>
  </si>
  <si>
    <t>แทน e ในสมการ 8.21 หาค่า Pi&gt;=</t>
  </si>
  <si>
    <t>เลือกค่า Pi ให้มากขึ้นอีกเล็กน้อย (ประมาณ 5 kg)</t>
  </si>
  <si>
    <t>หาแรงดึงจากเครื่องดึง Pj = Pi/(1-Loss1/100)</t>
  </si>
  <si>
    <t>หาแรงดึงประสิทธิผล Pe = R.Pi</t>
  </si>
  <si>
    <t>ลวดอัดแรง มอก.95-2534 ขนาด 4 mm มี Aps = 0.1257 cm2, fpy = 15000 ksc</t>
  </si>
  <si>
    <t>และ</t>
  </si>
  <si>
    <t>fpu=17500 ksc</t>
  </si>
  <si>
    <t>ลวดอัดแรง มอก.95-2534 ขนาด 5 mm มี Aps = 0.1964 cm2, fpy = 15000 ksc</t>
  </si>
  <si>
    <t>ลวดอัดแรง มอก.95-2534 ขนาด 7 mm มี Aps = 0.3848 cm2,fpy = 13500 ksc</t>
  </si>
  <si>
    <t>fpu=16000 ksc</t>
  </si>
  <si>
    <t>ลวดอัดแรง มอก.95-2534 ขนาด 9 mm มี Aps = 0.6362 cm2,fpy=12500 ksc</t>
  </si>
  <si>
    <t>fpu= 14500 ksc</t>
  </si>
  <si>
    <t>เลือกขนาดเส้นผ่านศูนย์กลางลวดอัดแรง 4 หรือ 5 หรือ 7 หรือ 9 mm</t>
  </si>
  <si>
    <t>mm</t>
  </si>
  <si>
    <t>เนื้อที่หน้าตัดเหล็ก 1 เส้น , Aps =</t>
  </si>
  <si>
    <t>กำลังครากของเหล็กอัดแรง, fpy</t>
  </si>
  <si>
    <t>กำลังประลัยของเหล็กอัดแรง</t>
  </si>
  <si>
    <t>กำลังดึงของเหล็ก 1 เส้น &lt;= 0.94Fpy=0.94*Aps*fpy</t>
  </si>
  <si>
    <t>กำลังดึงของเหล็ก 1 เส้น &lt;= 0.80Fpu=0.80*Aps*fpu</t>
  </si>
  <si>
    <t>เลือกแรงดึงของเหล็ก 1 เส้นจากค่าน้อย</t>
  </si>
  <si>
    <t>จำนวนเส้นที่ต้องใช้อย่างต่ำ = Pj/แรงดึงของ 1 เส้น</t>
  </si>
  <si>
    <t>เส้น</t>
  </si>
  <si>
    <t>จำนวนเส้นที่ใช้จริงปัดขึ้นเสมอ</t>
  </si>
  <si>
    <t>แรงดึง 1 เส้น (สำหรับสั่งในใบงาน), = Pj/จำนวนเส้นที่ใช้</t>
  </si>
  <si>
    <t>ระยะห่างระหว่างเส้น s = (b-4)/(จำนวนเส้น - 1)</t>
  </si>
  <si>
    <t>ตรวจสอบหน่วยแรงที่เกิดขึ้น</t>
  </si>
  <si>
    <t>ขณะถ่ายแรง,กลางพื้น,ผิวบน fti=Pi/A-Pie/Zt+MG/Zt</t>
  </si>
  <si>
    <t>ขณะถ่ายแรง,กลางพื้น,ผิวล่าง fbi=Pi/A+Pie/Zb-MG/Zb</t>
  </si>
  <si>
    <t>ขณะถ่ายแรง,ปลายพื้น,ผิวบน fti=Pi/A-Pie/Zt</t>
  </si>
  <si>
    <t>ขณะถ่ายแรง,ปลายพื้น,ผิวล่าง fbi=Pi/A+Pie/Zb</t>
  </si>
  <si>
    <t>ตรวจสอบพบว่า 1. fti&gt;Fti ใช้ได้, 2. fti&lt;Fti ใช้ไม่ได้</t>
  </si>
  <si>
    <t>ตรวจสอบพบว่า 1.fbi&lt;Fci ใช้ได้, 2.fbi&gt;Fci ใช้ไม่ได้</t>
  </si>
  <si>
    <t>ตรวจสอบพบว่า 1.fti&gt;Fti ใช้ได้, 2.fti&lt;Fti ใช้ไม่ได้</t>
  </si>
  <si>
    <t>ตรวจสอบพบว่า 1 fbi&lt;Fci ใช้ได้, 2. fbi&gt;Fci ใช้ไม่ได้</t>
  </si>
  <si>
    <t>ขณะเทพื้นคอนกรีตทับหน้า,กลางพื้น,ผิวบน, ft=Pe/A-Pee/Zt+(MG+MS)/Zt</t>
  </si>
  <si>
    <t>ตรวจสอบพบว่า 1. ft&lt;Fc ใช้ได้, 2.ft&gt;Fc ใช้ไม่ได้</t>
  </si>
  <si>
    <t>ขณะเทพื้นคอนกรีตทับหน้า,กลางพื้น,ผิวล่าง, fb=Pe/A+Pee/Zb-(MG+MS)/Zb</t>
  </si>
  <si>
    <t>ตรวจสอบพบว่า 1.fb&gt;Ft ใช้ได้, 2.fb&lt;Ft ใช้ไม่ได้</t>
  </si>
  <si>
    <t>ขณะเทพื้นคอนกรีตทับหน้า,ปลายพื้น,ผิวบน,ft=Pe/A-Pee/Zt</t>
  </si>
  <si>
    <t>ขณะเทพื้นคอนกรีตทับหน้า,ปลายพื้น,ผิวล่าง, fb=Pe/A+Pee/Zb</t>
  </si>
  <si>
    <t>ตรวจสอบพบว่า 1.fb&lt;Fc ใช้ได้, 2.fb&gt;Fc ใช้ไม่ได้</t>
  </si>
  <si>
    <t>ขณะใช้งาน,กลางพื้น,ผิวบน,ft=Pe/A-Pee/Zt+(MG+MS)/Zt+(MD'+ML)/Zt'</t>
  </si>
  <si>
    <t>ตรวจสอบพบว่า 1.ft&lt;Fc ใช้ได้, 2.ft&gt;Fc ใช้ไม่ได้</t>
  </si>
  <si>
    <t>ขณะใช้งาน,กลางพื้น,ผิวล่าง,fb=Pe/A+Pee/Zb-(MG+MS)/Zb-(MD'+ML)/Zb'</t>
  </si>
  <si>
    <t>ขณะใช้งาน,ปลายพื้น,ผิวบน,ft=Pe/A-Pee/Zt</t>
  </si>
  <si>
    <t>ตรวจสอบพบว่า 1.ft&gt;Ft ใช้ได้, 2.ft&lt;Ft ใช้ไม่ได้</t>
  </si>
  <si>
    <t>ตรวจสอบพบว่า 1. ft&gt;Ft ใช้ได้, 2.ft&lt;Ft ใช้ไม่ได้</t>
  </si>
  <si>
    <t>ขณะใช้งาน,ปลายพื้น,ผิวล่าง, fb=Pe/A+Pee/Zb</t>
  </si>
  <si>
    <t>ผิวบนของพื้นคอนกรีตหล่อในที่, fctt=nc(MD'+ML)yt/I'</t>
  </si>
  <si>
    <t>หน่วยแรงที่ยอมให้ของคอนกรีตทับหน้า =0.45fct'</t>
  </si>
  <si>
    <t>ตรวจสอบพบว่า 1. fctt&lt;0.45fct' ใช้ได้, 2.fctt&gt;0.45fct' ใช้ไม่ได้</t>
  </si>
  <si>
    <t>ตรวจสอบแรงดัดที่รับได้</t>
  </si>
  <si>
    <t>แรงดึงประลัย Fpu= จำนวนเส้น*Aps*fpu</t>
  </si>
  <si>
    <t>แรงดึงประสิทธิผลของเหล็กอัดแรง Fpe=Pe</t>
  </si>
  <si>
    <t>อัตราส่วน Fpe/Fpu =</t>
  </si>
  <si>
    <t>ตรวจสอบพบว่า 1. Fpe/Fpu&gt;0.5 ใช้สมการ 4.18 ได้, 2.ใช้ไม่ได้</t>
  </si>
  <si>
    <t>สมการ 4.18, fps=fpu{1-rp/B1[pp.fpu/fc'+d/d'(w-w')]}</t>
  </si>
  <si>
    <t>หน่วยแรงประลัย, fpu=</t>
  </si>
  <si>
    <t>หน่วยแรงคราก, fpy</t>
  </si>
  <si>
    <t>อัตราส่วน fpy/fpu =</t>
  </si>
  <si>
    <t>ค่า rp = 0.4 ถ้า 0.85&lt;=fpy/fpu&lt;0.9 และ rp = 0.28 ถ้า fpy/fpu&gt;=0.9</t>
  </si>
  <si>
    <t xml:space="preserve">ความกว้างของพื้น be = </t>
  </si>
  <si>
    <t>dp = ความลึกประสิทธิผลจริง = ทับหน้า+พื้น/2+e</t>
  </si>
  <si>
    <t>dp = ความลึกประสิทธิผลไม่น้อยกว่า 0.8(ทับหน้า+พื้น)</t>
  </si>
  <si>
    <t>dp = ความลึกประสิทธิผลที่ใช้จริง</t>
  </si>
  <si>
    <t>สมมติระยะ a อยู่ในคอนกรีตทับหน้า</t>
  </si>
  <si>
    <t>ค่า B1 หรือ beta1</t>
  </si>
  <si>
    <t>Roh-p = pp=Aps/be/dp</t>
  </si>
  <si>
    <t>กำลังคอนกรีตเท่ากับคอนกรีตทับหน้า, fc' = fct'</t>
  </si>
  <si>
    <t xml:space="preserve">เหล็กเสริมธรรมดารับแรงดึงและแรงอัดไม่มี , w = w' = </t>
  </si>
  <si>
    <t xml:space="preserve">กำลังของเหล็กอัดแรง , fps = </t>
  </si>
  <si>
    <t>ระยะรับแรงอัด a = Apsfps/(0.85fc'be)</t>
  </si>
  <si>
    <t>ตรวจสอบพบว่า 1. a&lt;ความหนาทับหน้าจริง , 2. a ล้นเข้ามาในคอนกรีตอัดแรง</t>
  </si>
  <si>
    <t>กรณีที่ระยะ a ล้นเข้าไปในแผ่นพื้นคอนกรีตอัดแรง</t>
  </si>
  <si>
    <t>กำลังคอนกรีตเท่ากับคอนกรีตอัดแรง,fc'=</t>
  </si>
  <si>
    <t>สมดุลของแรงในหน้าตัด Apsfps=btr*ht*0.85fc'+be(a-ht)*0.85fc' หรือ</t>
  </si>
  <si>
    <t>a=ht+(Apsfps-0.85fc'.btr.ht)/(0.85fc'.be)</t>
  </si>
  <si>
    <t>ตรวจสอบพบว่า 1.a&lt;ความหนาทับหน้าจริง, 2.a ล้นเข้ามาในคอนกรีตอัดแรง</t>
  </si>
  <si>
    <t>ดังนั้น 1.a อยู่ในคอนกรีตทับหน้า, 2.a อยู่ในคอนกรีตอัดแรง</t>
  </si>
  <si>
    <t>แรงดัดที่รับได้ทางทฤษฎี, Mn = Aps.fps(dp-a/2)</t>
  </si>
  <si>
    <t>แรงดัดที่รับได้จริง = 0.9Mn =</t>
  </si>
  <si>
    <t>แรงดัดที่เกิดขึ้น Mu = 1.4(MG+MS+MD')+1.7ML</t>
  </si>
  <si>
    <t>ตรวจสอบพบว่า 1.Mu&lt;0.9Mn ใช้ได้, 2.Mu&gt;0.9Mn ใช้ไม่ได้</t>
  </si>
  <si>
    <t>ตรวจสอบแรงดัดแตกร้าว Mcr = Mp+A.Mcr</t>
  </si>
  <si>
    <t xml:space="preserve">Mp=MG+MS = </t>
  </si>
  <si>
    <t>fr=2.0Sqrt(fc') =</t>
  </si>
  <si>
    <t>สูตร AMcr=(RPiZb/A+Rpie-Mp+frZb)/mb</t>
  </si>
  <si>
    <t xml:space="preserve">RPiZb/A = </t>
  </si>
  <si>
    <t>RPie-Mp</t>
  </si>
  <si>
    <t>frZb</t>
  </si>
  <si>
    <t>AMcr =</t>
  </si>
  <si>
    <t>Mcr = Mp+AMcr =</t>
  </si>
  <si>
    <t>เผื่ออีก 20% คือ 1.2Mcr =</t>
  </si>
  <si>
    <t>ตรวจสอบพบว่า 1. ค่า 0.9Mn&gt;1.2Mcr ใช้ได้, 2. ค่า 0.9Mn&lt;1.2Mcr ใช้ไม่ได้</t>
  </si>
  <si>
    <t>ตรวจสอบแรงเฉือนแนวราบ</t>
  </si>
  <si>
    <t>wu=1.4wD+1.7wL=1.4(wG+wS+wD')+1.7wL</t>
  </si>
  <si>
    <t>แรงเฉือนประลัย Vu=wuL/2</t>
  </si>
  <si>
    <t>หน่วยแรงเฉือนแนวราบ vnh=Vu/(0.85bf.dpc)</t>
  </si>
  <si>
    <t>หน่วยแรงเฉือนแนวราบที่ยอมให้ = 5.6 ksc</t>
  </si>
  <si>
    <t>ตรวจสอบพบว่า 1. vnh&lt;=5.6 ใช้ได้ , 2.vnh&gt;5.6 ใช้ไม่ได้</t>
  </si>
  <si>
    <t>ตรวจสอบแรงเฉือนแนวดิ่งของรูปตัดคอมโพสิต</t>
  </si>
  <si>
    <t>ตรวจสอบที่ระยะ dpc จากขอบที่รองรับ</t>
  </si>
  <si>
    <t>แรงเฉือนประลัย Vu = wu(L/2-dpc)</t>
  </si>
  <si>
    <t>หากำลังรับแรงเฉือนของคอนกรีต Vc</t>
  </si>
  <si>
    <t>สูตร Vci=0.16Sqrt(fc')bw.dp+Vd+AVi.AMcr/Ammax</t>
  </si>
  <si>
    <t>Vd=(wG+wS)(L/2-dp)=</t>
  </si>
  <si>
    <t>AVi=(1.4wD'+1.7wL)(L/2-dp) =</t>
  </si>
  <si>
    <t>AMmax=(1.4wD'+1.7wL)(L/2-dp)*dp/2*100</t>
  </si>
  <si>
    <t>Vci=</t>
  </si>
  <si>
    <t>สูตร Vcw=(0.93Sqrt(fc')+0.3fpc)bw.dp+Vp</t>
  </si>
  <si>
    <t>RPi/A=</t>
  </si>
  <si>
    <t>สูตร fpc=RPi/A-RPiey'/I+Mpy'/I</t>
  </si>
  <si>
    <t>RPiey'/I=</t>
  </si>
  <si>
    <t>Mpy'/I =</t>
  </si>
  <si>
    <t xml:space="preserve">แทนค่า fpc = </t>
  </si>
  <si>
    <t>Vp = RPi*alpha = RPi.tan alpha = 0</t>
  </si>
  <si>
    <t>Vcw=</t>
  </si>
  <si>
    <t>Vc = ค่าน้อยระหว่าง Vci กับ Vcw =</t>
  </si>
  <si>
    <t>แรงเฉือนแนวดิ่งที่รับได้ = 0.85Vc</t>
  </si>
  <si>
    <t>ตรวจสอบพบว่า 1. ค่า 0.85Vc&gt;Vu ใช้ได้ , 2. ค่า 0.85Vc &lt; Vu ใช้ไม่ได้</t>
  </si>
  <si>
    <t>จบการออกแบบแผ่นพื้นคอนกรีตอัดแรงสี่เหลี่ยมตัน (Solid plank)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</si>
</sst>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0"/>
  <sheetViews>
    <sheetView tabSelected="1" workbookViewId="0" topLeftCell="A1">
      <selection activeCell="A114" sqref="A1:IV16384"/>
    </sheetView>
  </sheetViews>
  <sheetFormatPr defaultColWidth="9.140625" defaultRowHeight="21.75"/>
  <cols>
    <col min="1" max="1" width="7.7109375" style="2" customWidth="1"/>
    <col min="2" max="2" width="58.421875" style="6" customWidth="1"/>
    <col min="3" max="3" width="10.28125" style="2" customWidth="1"/>
    <col min="4" max="4" width="18.140625" style="6" customWidth="1"/>
    <col min="5" max="16384" width="9.140625" style="6" customWidth="1"/>
  </cols>
  <sheetData>
    <row r="1" spans="1:4" s="2" customFormat="1" ht="23.25">
      <c r="A1" s="1" t="s">
        <v>0</v>
      </c>
      <c r="B1" s="1" t="s">
        <v>1</v>
      </c>
      <c r="C1" s="1" t="s">
        <v>2</v>
      </c>
      <c r="D1" s="1" t="s">
        <v>3</v>
      </c>
    </row>
    <row r="2" spans="1:4" s="2" customFormat="1" ht="23.25">
      <c r="A2" s="1">
        <v>2</v>
      </c>
      <c r="B2" s="3" t="s">
        <v>7</v>
      </c>
      <c r="C2" s="1"/>
      <c r="D2" s="1"/>
    </row>
    <row r="3" spans="1:4" s="2" customFormat="1" ht="23.25">
      <c r="A3" s="1">
        <v>3</v>
      </c>
      <c r="B3" s="1" t="s">
        <v>4</v>
      </c>
      <c r="C3" s="1" t="s">
        <v>5</v>
      </c>
      <c r="D3" s="1" t="s">
        <v>6</v>
      </c>
    </row>
    <row r="4" spans="1:4" ht="23.25">
      <c r="A4" s="1">
        <v>4</v>
      </c>
      <c r="B4" s="4" t="s">
        <v>8</v>
      </c>
      <c r="C4" s="1"/>
      <c r="D4" s="5"/>
    </row>
    <row r="5" spans="1:4" ht="23.25">
      <c r="A5" s="1">
        <v>5</v>
      </c>
      <c r="B5" s="5" t="s">
        <v>9</v>
      </c>
      <c r="C5" s="1" t="s">
        <v>10</v>
      </c>
      <c r="D5" s="5">
        <v>4.35</v>
      </c>
    </row>
    <row r="6" spans="1:4" ht="23.25">
      <c r="A6" s="1">
        <v>6</v>
      </c>
      <c r="B6" s="5" t="s">
        <v>11</v>
      </c>
      <c r="C6" s="1" t="s">
        <v>12</v>
      </c>
      <c r="D6" s="5">
        <v>35</v>
      </c>
    </row>
    <row r="7" spans="1:4" ht="23.25">
      <c r="A7" s="1">
        <v>7</v>
      </c>
      <c r="B7" s="5" t="s">
        <v>13</v>
      </c>
      <c r="C7" s="1" t="s">
        <v>12</v>
      </c>
      <c r="D7" s="5">
        <v>5</v>
      </c>
    </row>
    <row r="8" spans="1:4" ht="23.25">
      <c r="A8" s="1">
        <v>8</v>
      </c>
      <c r="B8" s="5" t="s">
        <v>14</v>
      </c>
      <c r="C8" s="1" t="s">
        <v>12</v>
      </c>
      <c r="D8" s="5">
        <v>5</v>
      </c>
    </row>
    <row r="9" spans="1:4" ht="23.25">
      <c r="A9" s="1">
        <v>9</v>
      </c>
      <c r="B9" s="5" t="s">
        <v>15</v>
      </c>
      <c r="C9" s="1" t="s">
        <v>16</v>
      </c>
      <c r="D9" s="5">
        <v>280</v>
      </c>
    </row>
    <row r="10" spans="1:4" ht="23.25">
      <c r="A10" s="1">
        <v>10</v>
      </c>
      <c r="B10" s="5" t="s">
        <v>17</v>
      </c>
      <c r="C10" s="1" t="s">
        <v>16</v>
      </c>
      <c r="D10" s="5">
        <v>350</v>
      </c>
    </row>
    <row r="11" spans="1:4" ht="23.25">
      <c r="A11" s="1">
        <v>11</v>
      </c>
      <c r="B11" s="5" t="s">
        <v>18</v>
      </c>
      <c r="C11" s="1" t="s">
        <v>16</v>
      </c>
      <c r="D11" s="5">
        <v>240</v>
      </c>
    </row>
    <row r="12" spans="1:4" ht="23.25">
      <c r="A12" s="1">
        <v>12</v>
      </c>
      <c r="B12" s="5" t="s">
        <v>19</v>
      </c>
      <c r="C12" s="1" t="s">
        <v>20</v>
      </c>
      <c r="D12" s="5">
        <v>50</v>
      </c>
    </row>
    <row r="13" spans="1:4" ht="23.25">
      <c r="A13" s="1">
        <v>13</v>
      </c>
      <c r="B13" s="5" t="s">
        <v>21</v>
      </c>
      <c r="C13" s="1" t="s">
        <v>20</v>
      </c>
      <c r="D13" s="5">
        <v>150</v>
      </c>
    </row>
    <row r="14" spans="1:4" ht="23.25">
      <c r="A14" s="1">
        <v>14</v>
      </c>
      <c r="B14" s="5" t="s">
        <v>22</v>
      </c>
      <c r="C14" s="1" t="s">
        <v>23</v>
      </c>
      <c r="D14" s="5">
        <v>8</v>
      </c>
    </row>
    <row r="15" spans="1:4" ht="23.25">
      <c r="A15" s="1">
        <v>15</v>
      </c>
      <c r="B15" s="5" t="s">
        <v>24</v>
      </c>
      <c r="C15" s="1" t="s">
        <v>23</v>
      </c>
      <c r="D15" s="5">
        <v>24</v>
      </c>
    </row>
    <row r="16" spans="1:4" ht="23.25">
      <c r="A16" s="1">
        <v>16</v>
      </c>
      <c r="B16" s="4" t="s">
        <v>25</v>
      </c>
      <c r="C16" s="1"/>
      <c r="D16" s="5"/>
    </row>
    <row r="17" spans="1:4" ht="23.25">
      <c r="A17" s="1">
        <v>17</v>
      </c>
      <c r="B17" s="5" t="s">
        <v>26</v>
      </c>
      <c r="C17" s="1" t="s">
        <v>16</v>
      </c>
      <c r="D17" s="5">
        <f>0.6*D9</f>
        <v>168</v>
      </c>
    </row>
    <row r="18" spans="1:4" ht="23.25">
      <c r="A18" s="1">
        <v>18</v>
      </c>
      <c r="B18" s="5" t="s">
        <v>27</v>
      </c>
      <c r="C18" s="1" t="s">
        <v>16</v>
      </c>
      <c r="D18" s="5">
        <f>-0.8*SQRT(D9)</f>
        <v>-13.386560424545209</v>
      </c>
    </row>
    <row r="19" spans="1:4" ht="23.25">
      <c r="A19" s="1">
        <v>19</v>
      </c>
      <c r="B19" s="7" t="s">
        <v>28</v>
      </c>
      <c r="C19" s="1" t="s">
        <v>16</v>
      </c>
      <c r="D19" s="5">
        <f>0.45*D10</f>
        <v>157.5</v>
      </c>
    </row>
    <row r="20" spans="1:4" ht="23.25">
      <c r="A20" s="1">
        <v>20</v>
      </c>
      <c r="B20" s="7" t="s">
        <v>29</v>
      </c>
      <c r="C20" s="1" t="s">
        <v>16</v>
      </c>
      <c r="D20" s="5">
        <f>-1.6*SQRT(D10)</f>
        <v>-29.933259094191534</v>
      </c>
    </row>
    <row r="21" spans="1:4" ht="23.25">
      <c r="A21" s="1">
        <v>21</v>
      </c>
      <c r="B21" s="7" t="s">
        <v>30</v>
      </c>
      <c r="C21" s="1"/>
      <c r="D21" s="5"/>
    </row>
    <row r="22" spans="1:4" ht="23.25">
      <c r="A22" s="1">
        <v>22</v>
      </c>
      <c r="B22" s="7" t="s">
        <v>31</v>
      </c>
      <c r="C22" s="1"/>
      <c r="D22" s="5">
        <f>SQRT(D11/D10)</f>
        <v>0.828078671210825</v>
      </c>
    </row>
    <row r="23" spans="1:4" ht="23.25">
      <c r="A23" s="1">
        <v>23</v>
      </c>
      <c r="B23" s="7" t="s">
        <v>32</v>
      </c>
      <c r="C23" s="1" t="s">
        <v>12</v>
      </c>
      <c r="D23" s="5">
        <f>D22*D6</f>
        <v>28.982753492378876</v>
      </c>
    </row>
    <row r="24" spans="1:4" ht="23.25">
      <c r="A24" s="1">
        <v>24</v>
      </c>
      <c r="B24" s="5" t="s">
        <v>33</v>
      </c>
      <c r="C24" s="1"/>
      <c r="D24" s="5"/>
    </row>
    <row r="25" spans="1:4" ht="23.25">
      <c r="A25" s="1">
        <v>25</v>
      </c>
      <c r="B25" s="5" t="s">
        <v>34</v>
      </c>
      <c r="C25" s="1" t="s">
        <v>12</v>
      </c>
      <c r="D25" s="5">
        <f>(D6*D7*(D8+D7/2)+D23*D8*D8/2)/(D6*D7+D23*D8)</f>
        <v>5.235112048918692</v>
      </c>
    </row>
    <row r="26" spans="1:4" ht="23.25">
      <c r="A26" s="1">
        <v>26</v>
      </c>
      <c r="B26" s="5" t="s">
        <v>35</v>
      </c>
      <c r="C26" s="1"/>
      <c r="D26" s="5"/>
    </row>
    <row r="27" spans="1:4" ht="23.25">
      <c r="A27" s="1">
        <v>27</v>
      </c>
      <c r="B27" s="5" t="s">
        <v>36</v>
      </c>
      <c r="C27" s="1" t="s">
        <v>12</v>
      </c>
      <c r="D27" s="5">
        <f>D25-D8</f>
        <v>0.2351120489186922</v>
      </c>
    </row>
    <row r="28" spans="1:4" ht="23.25">
      <c r="A28" s="1">
        <v>28</v>
      </c>
      <c r="B28" s="5" t="s">
        <v>37</v>
      </c>
      <c r="C28" s="1"/>
      <c r="D28" s="5"/>
    </row>
    <row r="29" spans="1:4" ht="23.25">
      <c r="A29" s="1">
        <v>29</v>
      </c>
      <c r="B29" s="5" t="s">
        <v>38</v>
      </c>
      <c r="C29" s="1" t="s">
        <v>12</v>
      </c>
      <c r="D29" s="5">
        <f>D7-D27</f>
        <v>4.764887951081308</v>
      </c>
    </row>
    <row r="30" spans="1:4" ht="23.25">
      <c r="A30" s="1">
        <v>30</v>
      </c>
      <c r="B30" s="5" t="s">
        <v>39</v>
      </c>
      <c r="C30" s="1" t="s">
        <v>12</v>
      </c>
      <c r="D30" s="5">
        <f>D7/2</f>
        <v>2.5</v>
      </c>
    </row>
    <row r="31" spans="1:4" ht="23.25">
      <c r="A31" s="1">
        <v>31</v>
      </c>
      <c r="B31" s="5" t="s">
        <v>40</v>
      </c>
      <c r="C31" s="1" t="s">
        <v>41</v>
      </c>
      <c r="D31" s="5">
        <f>D6*D7^3/12</f>
        <v>364.5833333333333</v>
      </c>
    </row>
    <row r="32" spans="1:4" ht="23.25">
      <c r="A32" s="1">
        <v>32</v>
      </c>
      <c r="B32" s="5" t="s">
        <v>42</v>
      </c>
      <c r="C32" s="1" t="s">
        <v>43</v>
      </c>
      <c r="D32" s="5">
        <f>D31/D30</f>
        <v>145.83333333333331</v>
      </c>
    </row>
    <row r="33" spans="1:4" ht="23.25">
      <c r="A33" s="1">
        <v>33</v>
      </c>
      <c r="B33" s="5" t="s">
        <v>44</v>
      </c>
      <c r="C33" s="1" t="s">
        <v>45</v>
      </c>
      <c r="D33" s="5">
        <f>D6*D7</f>
        <v>175</v>
      </c>
    </row>
    <row r="34" spans="1:4" ht="23.25">
      <c r="A34" s="1">
        <v>34</v>
      </c>
      <c r="B34" s="5" t="s">
        <v>46</v>
      </c>
      <c r="C34" s="1" t="s">
        <v>41</v>
      </c>
      <c r="D34" s="5">
        <f>(D23/3)*(D25^3-D27^3)+(D6/3)*(D27^3+D29^3)</f>
        <v>2648.2639727417572</v>
      </c>
    </row>
    <row r="35" spans="1:4" ht="23.25">
      <c r="A35" s="1">
        <v>35</v>
      </c>
      <c r="B35" s="5" t="s">
        <v>47</v>
      </c>
      <c r="C35" s="1" t="s">
        <v>43</v>
      </c>
      <c r="D35" s="5">
        <f>D34/D27</f>
        <v>11263.837752771213</v>
      </c>
    </row>
    <row r="36" spans="1:4" ht="23.25">
      <c r="A36" s="1">
        <v>36</v>
      </c>
      <c r="B36" s="5" t="s">
        <v>48</v>
      </c>
      <c r="C36" s="1" t="s">
        <v>43</v>
      </c>
      <c r="D36" s="5">
        <f>D34/D29</f>
        <v>555.7872503887064</v>
      </c>
    </row>
    <row r="37" spans="1:4" ht="23.25">
      <c r="A37" s="1">
        <v>37</v>
      </c>
      <c r="B37" s="5" t="s">
        <v>49</v>
      </c>
      <c r="C37" s="1"/>
      <c r="D37" s="5">
        <f>D32/D35</f>
        <v>0.01294703781554864</v>
      </c>
    </row>
    <row r="38" spans="1:4" ht="23.25">
      <c r="A38" s="1">
        <v>38</v>
      </c>
      <c r="B38" s="5" t="s">
        <v>50</v>
      </c>
      <c r="C38" s="1"/>
      <c r="D38" s="5">
        <f>D32/D36</f>
        <v>0.26239056982926545</v>
      </c>
    </row>
    <row r="39" spans="1:4" ht="23.25">
      <c r="A39" s="1">
        <v>39</v>
      </c>
      <c r="B39" s="5" t="s">
        <v>52</v>
      </c>
      <c r="C39" s="1"/>
      <c r="D39" s="5">
        <f>1-D14/100</f>
        <v>0.92</v>
      </c>
    </row>
    <row r="40" spans="1:4" ht="23.25">
      <c r="A40" s="1">
        <v>40</v>
      </c>
      <c r="B40" s="5" t="s">
        <v>53</v>
      </c>
      <c r="C40" s="1"/>
      <c r="D40" s="5">
        <f>1-D15/100</f>
        <v>0.76</v>
      </c>
    </row>
    <row r="41" spans="1:4" ht="23.25">
      <c r="A41" s="1">
        <v>41</v>
      </c>
      <c r="B41" s="5" t="s">
        <v>54</v>
      </c>
      <c r="C41" s="1"/>
      <c r="D41" s="5">
        <f>D40/D39</f>
        <v>0.8260869565217391</v>
      </c>
    </row>
    <row r="42" spans="1:4" ht="23.25">
      <c r="A42" s="1">
        <v>42</v>
      </c>
      <c r="B42" s="5" t="s">
        <v>55</v>
      </c>
      <c r="C42" s="1" t="s">
        <v>56</v>
      </c>
      <c r="D42" s="5">
        <f>2400*D6*D7/10000</f>
        <v>42</v>
      </c>
    </row>
    <row r="43" spans="1:4" ht="23.25">
      <c r="A43" s="1">
        <v>43</v>
      </c>
      <c r="B43" s="5" t="s">
        <v>57</v>
      </c>
      <c r="C43" s="1" t="s">
        <v>56</v>
      </c>
      <c r="D43" s="5">
        <f>2400*D6*D8/10000</f>
        <v>42</v>
      </c>
    </row>
    <row r="44" spans="1:4" ht="23.25">
      <c r="A44" s="1">
        <v>44</v>
      </c>
      <c r="B44" s="5" t="s">
        <v>58</v>
      </c>
      <c r="C44" s="1" t="s">
        <v>56</v>
      </c>
      <c r="D44" s="5">
        <f>D12*D6/100</f>
        <v>17.5</v>
      </c>
    </row>
    <row r="45" spans="1:4" ht="23.25">
      <c r="A45" s="1">
        <v>45</v>
      </c>
      <c r="B45" s="5" t="s">
        <v>59</v>
      </c>
      <c r="C45" s="1" t="s">
        <v>56</v>
      </c>
      <c r="D45" s="5">
        <f>D13*D6/100</f>
        <v>52.5</v>
      </c>
    </row>
    <row r="46" spans="1:4" ht="23.25">
      <c r="A46" s="1">
        <v>46</v>
      </c>
      <c r="B46" s="5" t="s">
        <v>60</v>
      </c>
      <c r="C46" s="1" t="s">
        <v>61</v>
      </c>
      <c r="D46" s="5">
        <f>D42*D5^2/8*100</f>
        <v>9934.312499999996</v>
      </c>
    </row>
    <row r="47" spans="1:4" ht="23.25">
      <c r="A47" s="1">
        <v>47</v>
      </c>
      <c r="B47" s="5" t="s">
        <v>62</v>
      </c>
      <c r="C47" s="1" t="s">
        <v>61</v>
      </c>
      <c r="D47" s="5">
        <f>D43*D5^2/8*100</f>
        <v>9934.312499999996</v>
      </c>
    </row>
    <row r="48" spans="1:4" ht="23.25">
      <c r="A48" s="1">
        <v>48</v>
      </c>
      <c r="B48" s="5" t="s">
        <v>63</v>
      </c>
      <c r="C48" s="1" t="s">
        <v>61</v>
      </c>
      <c r="D48" s="5">
        <f>D44*D5^2/8*100</f>
        <v>4139.296874999999</v>
      </c>
    </row>
    <row r="49" spans="1:4" ht="23.25">
      <c r="A49" s="1">
        <v>49</v>
      </c>
      <c r="B49" s="5" t="s">
        <v>64</v>
      </c>
      <c r="C49" s="1" t="s">
        <v>61</v>
      </c>
      <c r="D49" s="5">
        <f>D45*D5^2/8*100</f>
        <v>12417.890624999996</v>
      </c>
    </row>
    <row r="50" spans="1:4" ht="23.25">
      <c r="A50" s="1">
        <v>50</v>
      </c>
      <c r="B50" s="5" t="s">
        <v>65</v>
      </c>
      <c r="C50" s="1" t="s">
        <v>43</v>
      </c>
      <c r="D50" s="5">
        <f>((1-D41)*D46+D47+D37*(D48+D49))/(D19-D41*D18)</f>
        <v>70.45855393971459</v>
      </c>
    </row>
    <row r="51" spans="1:4" ht="23.25">
      <c r="A51" s="1">
        <v>51</v>
      </c>
      <c r="B51" s="5" t="s">
        <v>66</v>
      </c>
      <c r="C51" s="1"/>
      <c r="D51" s="5">
        <f>IF(D50&lt;=D32,1,2)</f>
        <v>1</v>
      </c>
    </row>
    <row r="52" spans="1:4" ht="23.25">
      <c r="A52" s="1">
        <v>52</v>
      </c>
      <c r="B52" s="5" t="s">
        <v>67</v>
      </c>
      <c r="C52" s="1" t="s">
        <v>43</v>
      </c>
      <c r="D52" s="5">
        <f>((1-D41)*D46+D47+D38*(D48+D49))/(D41*D17-D20)</f>
        <v>94.87233829465367</v>
      </c>
    </row>
    <row r="53" spans="1:4" ht="23.25">
      <c r="A53" s="1">
        <v>53</v>
      </c>
      <c r="B53" s="5" t="s">
        <v>68</v>
      </c>
      <c r="C53" s="1"/>
      <c r="D53" s="5">
        <f>IF(D52&lt;=D32,1,2)</f>
        <v>1</v>
      </c>
    </row>
    <row r="54" spans="1:4" ht="23.25">
      <c r="A54" s="1">
        <v>54</v>
      </c>
      <c r="B54" s="4" t="s">
        <v>69</v>
      </c>
      <c r="C54" s="1"/>
      <c r="D54" s="5"/>
    </row>
    <row r="55" spans="1:4" ht="23.25">
      <c r="A55" s="1">
        <v>55</v>
      </c>
      <c r="B55" s="5" t="s">
        <v>70</v>
      </c>
      <c r="C55" s="1"/>
      <c r="D55" s="5">
        <f>D33/D32</f>
        <v>1.2000000000000002</v>
      </c>
    </row>
    <row r="56" spans="1:4" ht="23.25">
      <c r="A56" s="1">
        <v>56</v>
      </c>
      <c r="B56" s="5" t="s">
        <v>71</v>
      </c>
      <c r="C56" s="1"/>
      <c r="D56" s="5">
        <f>D33*(-D18+D46/D32)</f>
        <v>14263.823074295407</v>
      </c>
    </row>
    <row r="57" spans="1:4" ht="23.25">
      <c r="A57" s="1">
        <v>57</v>
      </c>
      <c r="B57" s="5" t="s">
        <v>72</v>
      </c>
      <c r="C57" s="1"/>
      <c r="D57" s="5">
        <f>D33/D32</f>
        <v>1.2000000000000002</v>
      </c>
    </row>
    <row r="58" spans="1:4" ht="23.25">
      <c r="A58" s="1">
        <v>58</v>
      </c>
      <c r="B58" s="5" t="s">
        <v>73</v>
      </c>
      <c r="C58" s="1"/>
      <c r="D58" s="5">
        <f>D33*(D17+D46/D32)</f>
        <v>41321.174999999996</v>
      </c>
    </row>
    <row r="59" spans="1:4" ht="23.25">
      <c r="A59" s="1">
        <v>59</v>
      </c>
      <c r="B59" s="5" t="s">
        <v>74</v>
      </c>
      <c r="C59" s="1" t="s">
        <v>61</v>
      </c>
      <c r="D59" s="5">
        <f>D46+D47+D37*(D48+D49)</f>
        <v>20082.991532681623</v>
      </c>
    </row>
    <row r="60" spans="1:4" ht="23.25">
      <c r="A60" s="1">
        <v>60</v>
      </c>
      <c r="B60" s="5" t="s">
        <v>75</v>
      </c>
      <c r="C60" s="1" t="s">
        <v>16</v>
      </c>
      <c r="D60" s="5">
        <f>D59/D32</f>
        <v>137.7119419383883</v>
      </c>
    </row>
    <row r="61" spans="1:4" ht="23.25">
      <c r="A61" s="1">
        <v>61</v>
      </c>
      <c r="B61" s="5" t="s">
        <v>76</v>
      </c>
      <c r="C61" s="1"/>
      <c r="D61" s="5">
        <f>IF(D60&gt;D19,1,2)</f>
        <v>2</v>
      </c>
    </row>
    <row r="62" spans="1:4" ht="23.25">
      <c r="A62" s="1">
        <v>62</v>
      </c>
      <c r="B62" s="5" t="s">
        <v>77</v>
      </c>
      <c r="C62" s="1"/>
      <c r="D62" s="5">
        <f>D33/D32</f>
        <v>1.2000000000000002</v>
      </c>
    </row>
    <row r="63" spans="1:4" ht="23.25">
      <c r="A63" s="1">
        <v>63</v>
      </c>
      <c r="B63" s="5" t="s">
        <v>78</v>
      </c>
      <c r="C63" s="1"/>
      <c r="D63" s="5">
        <f>(D33/D41)*(-D19+D60)</f>
        <v>-4191.943878841427</v>
      </c>
    </row>
    <row r="64" spans="1:4" ht="23.25">
      <c r="A64" s="1">
        <v>64</v>
      </c>
      <c r="B64" s="5" t="s">
        <v>79</v>
      </c>
      <c r="C64" s="1"/>
      <c r="D64" s="5">
        <f>D33/D32</f>
        <v>1.2000000000000002</v>
      </c>
    </row>
    <row r="65" spans="1:4" ht="23.25">
      <c r="A65" s="1">
        <v>65</v>
      </c>
      <c r="B65" s="5" t="s">
        <v>80</v>
      </c>
      <c r="C65" s="1"/>
      <c r="D65" s="5">
        <f>(D33/D41)*(-D19+D60)</f>
        <v>-4191.943878841427</v>
      </c>
    </row>
    <row r="66" spans="1:4" ht="23.25">
      <c r="A66" s="1">
        <v>66</v>
      </c>
      <c r="B66" s="5" t="s">
        <v>81</v>
      </c>
      <c r="C66" s="1"/>
      <c r="D66" s="8" t="str">
        <f>IF(D60&gt;D19,"8.20.1","8.20.2")</f>
        <v>8.20.2</v>
      </c>
    </row>
    <row r="67" spans="1:4" ht="23.25">
      <c r="A67" s="1">
        <v>67</v>
      </c>
      <c r="B67" s="5" t="s">
        <v>82</v>
      </c>
      <c r="C67" s="1" t="s">
        <v>61</v>
      </c>
      <c r="D67" s="5">
        <f>D46+D47+D38*(D48+D49)</f>
        <v>24213.074862894984</v>
      </c>
    </row>
    <row r="68" spans="1:4" ht="23.25">
      <c r="A68" s="1">
        <v>68</v>
      </c>
      <c r="B68" s="5" t="s">
        <v>83</v>
      </c>
      <c r="C68" s="1"/>
      <c r="D68" s="5">
        <f>D33/D32</f>
        <v>1.2000000000000002</v>
      </c>
    </row>
    <row r="69" spans="1:4" ht="23.25">
      <c r="A69" s="1">
        <v>69</v>
      </c>
      <c r="B69" s="5" t="s">
        <v>84</v>
      </c>
      <c r="C69" s="1"/>
      <c r="D69" s="5">
        <f>(D33/D41)*(D20+D67/D32)</f>
        <v>28831.55254535688</v>
      </c>
    </row>
    <row r="70" spans="1:4" ht="23.25">
      <c r="A70" s="1">
        <v>70</v>
      </c>
      <c r="B70" s="5" t="s">
        <v>85</v>
      </c>
      <c r="C70" s="1" t="s">
        <v>12</v>
      </c>
      <c r="D70" s="5">
        <f>(D56+D69)/(D55*D69-D56*D68)</f>
        <v>2.4652306378778546</v>
      </c>
    </row>
    <row r="71" spans="1:4" ht="23.25">
      <c r="A71" s="1">
        <v>71</v>
      </c>
      <c r="B71" s="5" t="s">
        <v>86</v>
      </c>
      <c r="C71" s="1" t="s">
        <v>12</v>
      </c>
      <c r="D71" s="5">
        <f>(D63+D69)/(D62*D69-D63*D68)</f>
        <v>0.6217696320929371</v>
      </c>
    </row>
    <row r="72" spans="1:4" ht="23.25">
      <c r="A72" s="1">
        <v>72</v>
      </c>
      <c r="B72" s="5" t="s">
        <v>87</v>
      </c>
      <c r="C72" s="1" t="s">
        <v>12</v>
      </c>
      <c r="D72" s="5">
        <f>(D70+D71)/2</f>
        <v>1.5435001349853958</v>
      </c>
    </row>
    <row r="73" spans="1:4" ht="23.25">
      <c r="A73" s="1">
        <v>73</v>
      </c>
      <c r="B73" s="9" t="s">
        <v>88</v>
      </c>
      <c r="C73" s="1" t="s">
        <v>12</v>
      </c>
      <c r="D73" s="9">
        <v>0.65</v>
      </c>
    </row>
    <row r="74" spans="1:4" ht="23.25">
      <c r="A74" s="1">
        <v>74</v>
      </c>
      <c r="B74" s="5" t="s">
        <v>89</v>
      </c>
      <c r="C74" s="1" t="s">
        <v>51</v>
      </c>
      <c r="D74" s="5">
        <f>D69/(D68*D73+1)</f>
        <v>16197.501429975773</v>
      </c>
    </row>
    <row r="75" spans="1:4" ht="23.25">
      <c r="A75" s="1">
        <v>75</v>
      </c>
      <c r="B75" s="9" t="s">
        <v>90</v>
      </c>
      <c r="C75" s="1" t="s">
        <v>51</v>
      </c>
      <c r="D75" s="9">
        <v>16200</v>
      </c>
    </row>
    <row r="76" spans="1:4" ht="23.25">
      <c r="A76" s="1">
        <v>76</v>
      </c>
      <c r="B76" s="5" t="s">
        <v>91</v>
      </c>
      <c r="C76" s="1" t="s">
        <v>51</v>
      </c>
      <c r="D76" s="5">
        <f>D75/D39</f>
        <v>17608.695652173912</v>
      </c>
    </row>
    <row r="77" spans="1:4" ht="23.25">
      <c r="A77" s="1">
        <v>77</v>
      </c>
      <c r="B77" s="5" t="s">
        <v>92</v>
      </c>
      <c r="C77" s="1" t="s">
        <v>51</v>
      </c>
      <c r="D77" s="5">
        <f>D75*D41</f>
        <v>13382.608695652174</v>
      </c>
    </row>
    <row r="78" spans="1:4" ht="23.25">
      <c r="A78" s="1">
        <v>78</v>
      </c>
      <c r="B78" s="5" t="s">
        <v>93</v>
      </c>
      <c r="C78" s="1" t="s">
        <v>94</v>
      </c>
      <c r="D78" s="5" t="s">
        <v>95</v>
      </c>
    </row>
    <row r="79" spans="1:4" ht="23.25">
      <c r="A79" s="1">
        <v>79</v>
      </c>
      <c r="B79" s="5" t="s">
        <v>96</v>
      </c>
      <c r="C79" s="1" t="s">
        <v>94</v>
      </c>
      <c r="D79" s="5" t="s">
        <v>95</v>
      </c>
    </row>
    <row r="80" spans="1:4" ht="23.25">
      <c r="A80" s="1">
        <v>80</v>
      </c>
      <c r="B80" s="5" t="s">
        <v>97</v>
      </c>
      <c r="C80" s="1" t="s">
        <v>94</v>
      </c>
      <c r="D80" s="5" t="s">
        <v>98</v>
      </c>
    </row>
    <row r="81" spans="1:4" ht="23.25">
      <c r="A81" s="1">
        <v>81</v>
      </c>
      <c r="B81" s="5" t="s">
        <v>99</v>
      </c>
      <c r="C81" s="1" t="s">
        <v>94</v>
      </c>
      <c r="D81" s="5" t="s">
        <v>100</v>
      </c>
    </row>
    <row r="82" spans="1:4" ht="23.25">
      <c r="A82" s="1">
        <v>82</v>
      </c>
      <c r="B82" s="9" t="s">
        <v>101</v>
      </c>
      <c r="C82" s="1" t="s">
        <v>102</v>
      </c>
      <c r="D82" s="9">
        <v>4</v>
      </c>
    </row>
    <row r="83" spans="1:4" ht="23.25">
      <c r="A83" s="1">
        <v>83</v>
      </c>
      <c r="B83" s="5" t="s">
        <v>103</v>
      </c>
      <c r="C83" s="1" t="s">
        <v>45</v>
      </c>
      <c r="D83" s="5">
        <f>IF(D82=4,0.1257,IF(D82=5,0.1964,IF(D82=7,0.3848,IF(D82=9,0.6362,"Error"))))</f>
        <v>0.1257</v>
      </c>
    </row>
    <row r="84" spans="1:4" ht="23.25">
      <c r="A84" s="1">
        <v>84</v>
      </c>
      <c r="B84" s="5" t="s">
        <v>104</v>
      </c>
      <c r="C84" s="1" t="s">
        <v>16</v>
      </c>
      <c r="D84" s="5">
        <f>IF(D82=4,15000,IF(D82=5,15000,IF(D82=7,13500,IF(D82=9,12500,"Error"))))</f>
        <v>15000</v>
      </c>
    </row>
    <row r="85" spans="1:4" ht="23.25">
      <c r="A85" s="1">
        <v>85</v>
      </c>
      <c r="B85" s="5" t="s">
        <v>105</v>
      </c>
      <c r="C85" s="1" t="s">
        <v>16</v>
      </c>
      <c r="D85" s="5">
        <f>IF(D82=4,17500,IF(D82=5,17500,IF(D82=7,16000,IF(D82=9,14500,"Error"))))</f>
        <v>17500</v>
      </c>
    </row>
    <row r="86" spans="1:4" ht="23.25">
      <c r="A86" s="1">
        <v>86</v>
      </c>
      <c r="B86" s="5" t="s">
        <v>106</v>
      </c>
      <c r="C86" s="1" t="s">
        <v>51</v>
      </c>
      <c r="D86" s="5">
        <f>D83*D84*0.94</f>
        <v>1772.37</v>
      </c>
    </row>
    <row r="87" spans="1:4" ht="23.25">
      <c r="A87" s="1">
        <v>87</v>
      </c>
      <c r="B87" s="5" t="s">
        <v>107</v>
      </c>
      <c r="C87" s="1" t="s">
        <v>51</v>
      </c>
      <c r="D87" s="5">
        <f>0.8*D83*D85</f>
        <v>1759.8000000000002</v>
      </c>
    </row>
    <row r="88" spans="1:4" ht="23.25">
      <c r="A88" s="1">
        <v>88</v>
      </c>
      <c r="B88" s="5" t="s">
        <v>108</v>
      </c>
      <c r="C88" s="1" t="s">
        <v>51</v>
      </c>
      <c r="D88" s="5">
        <f>IF(D86&lt;D87,D86,D87)</f>
        <v>1759.8000000000002</v>
      </c>
    </row>
    <row r="89" spans="1:4" ht="23.25">
      <c r="A89" s="1">
        <v>89</v>
      </c>
      <c r="B89" s="5" t="s">
        <v>109</v>
      </c>
      <c r="C89" s="1" t="s">
        <v>110</v>
      </c>
      <c r="D89" s="5">
        <f>D76/D88</f>
        <v>10.006077765754013</v>
      </c>
    </row>
    <row r="90" spans="1:4" ht="23.25">
      <c r="A90" s="1">
        <v>90</v>
      </c>
      <c r="B90" s="5" t="s">
        <v>111</v>
      </c>
      <c r="C90" s="1" t="s">
        <v>110</v>
      </c>
      <c r="D90" s="5">
        <f>INT(D89)+1</f>
        <v>11</v>
      </c>
    </row>
    <row r="91" spans="1:4" ht="23.25">
      <c r="A91" s="1">
        <v>91</v>
      </c>
      <c r="B91" s="5" t="s">
        <v>112</v>
      </c>
      <c r="C91" s="1" t="s">
        <v>51</v>
      </c>
      <c r="D91" s="5">
        <f>D76/D90</f>
        <v>1600.790513833992</v>
      </c>
    </row>
    <row r="92" spans="1:4" ht="23.25">
      <c r="A92" s="1">
        <v>92</v>
      </c>
      <c r="B92" s="5" t="s">
        <v>113</v>
      </c>
      <c r="C92" s="1" t="s">
        <v>12</v>
      </c>
      <c r="D92" s="5">
        <f>(D6-4)/(D90-1)</f>
        <v>3.1</v>
      </c>
    </row>
    <row r="93" spans="1:4" ht="23.25">
      <c r="A93" s="1">
        <v>93</v>
      </c>
      <c r="B93" s="4" t="s">
        <v>114</v>
      </c>
      <c r="C93" s="1"/>
      <c r="D93" s="5"/>
    </row>
    <row r="94" spans="1:4" ht="23.25">
      <c r="A94" s="1">
        <v>94</v>
      </c>
      <c r="B94" s="5" t="s">
        <v>115</v>
      </c>
      <c r="C94" s="1" t="s">
        <v>16</v>
      </c>
      <c r="D94" s="5">
        <f>D75/D33-D75*D73/D32+D46/D32</f>
        <v>88.48671428571426</v>
      </c>
    </row>
    <row r="95" spans="1:4" ht="23.25">
      <c r="A95" s="1">
        <v>95</v>
      </c>
      <c r="B95" s="5" t="s">
        <v>119</v>
      </c>
      <c r="C95" s="1"/>
      <c r="D95" s="5">
        <f>IF(D94&gt;D18,1,2)</f>
        <v>1</v>
      </c>
    </row>
    <row r="96" spans="1:4" ht="23.25">
      <c r="A96" s="1">
        <v>96</v>
      </c>
      <c r="B96" s="5" t="s">
        <v>116</v>
      </c>
      <c r="C96" s="1" t="s">
        <v>16</v>
      </c>
      <c r="D96" s="5">
        <f>D75/D33+D75*D73/D32-D46/D32</f>
        <v>96.65614285714287</v>
      </c>
    </row>
    <row r="97" spans="1:4" ht="23.25">
      <c r="A97" s="1">
        <v>97</v>
      </c>
      <c r="B97" s="5" t="s">
        <v>120</v>
      </c>
      <c r="C97" s="1"/>
      <c r="D97" s="5">
        <f>IF(D96&lt;D17,1,2)</f>
        <v>1</v>
      </c>
    </row>
    <row r="98" spans="1:4" ht="23.25">
      <c r="A98" s="1">
        <v>98</v>
      </c>
      <c r="B98" s="5" t="s">
        <v>117</v>
      </c>
      <c r="C98" s="1" t="s">
        <v>16</v>
      </c>
      <c r="D98" s="5">
        <f>D75/D33-D75*D73/D32</f>
        <v>20.365714285714276</v>
      </c>
    </row>
    <row r="99" spans="1:4" ht="23.25">
      <c r="A99" s="1">
        <v>99</v>
      </c>
      <c r="B99" s="5" t="s">
        <v>121</v>
      </c>
      <c r="C99" s="1"/>
      <c r="D99" s="5">
        <f>IF(D98&gt;D18,1,2)</f>
        <v>1</v>
      </c>
    </row>
    <row r="100" spans="1:4" ht="23.25">
      <c r="A100" s="1">
        <v>100</v>
      </c>
      <c r="B100" s="5" t="s">
        <v>118</v>
      </c>
      <c r="C100" s="1" t="s">
        <v>16</v>
      </c>
      <c r="D100" s="5">
        <f>D75/D33+D75*D73/D32</f>
        <v>164.77714285714285</v>
      </c>
    </row>
    <row r="101" spans="1:4" ht="23.25">
      <c r="A101" s="1">
        <v>101</v>
      </c>
      <c r="B101" s="5" t="s">
        <v>122</v>
      </c>
      <c r="C101" s="1"/>
      <c r="D101" s="5">
        <f>IF(D100&lt;D17,1,2)</f>
        <v>1</v>
      </c>
    </row>
    <row r="102" spans="1:4" ht="23.25">
      <c r="A102" s="1">
        <v>102</v>
      </c>
      <c r="B102" s="5" t="s">
        <v>123</v>
      </c>
      <c r="C102" s="1" t="s">
        <v>16</v>
      </c>
      <c r="D102" s="5">
        <f>D77/D33-D77*D73/D32+(D46+D47)/D32</f>
        <v>153.06585093167698</v>
      </c>
    </row>
    <row r="103" spans="1:4" ht="23.25">
      <c r="A103" s="1">
        <v>103</v>
      </c>
      <c r="B103" s="5" t="s">
        <v>124</v>
      </c>
      <c r="C103" s="1"/>
      <c r="D103" s="5">
        <f>IF(D102&lt;D19,1,2)</f>
        <v>1</v>
      </c>
    </row>
    <row r="104" spans="1:4" ht="23.25">
      <c r="A104" s="1">
        <v>104</v>
      </c>
      <c r="B104" s="5" t="s">
        <v>125</v>
      </c>
      <c r="C104" s="1" t="s">
        <v>16</v>
      </c>
      <c r="D104" s="5">
        <f>D77/D33+D77*D73/D32-(D46+D47)/D32</f>
        <v>-0.12175155279498995</v>
      </c>
    </row>
    <row r="105" spans="1:4" ht="23.25">
      <c r="A105" s="1">
        <v>105</v>
      </c>
      <c r="B105" s="5" t="s">
        <v>126</v>
      </c>
      <c r="C105" s="1"/>
      <c r="D105" s="5">
        <f>IF(D104&gt;D20,1,2)</f>
        <v>1</v>
      </c>
    </row>
    <row r="106" spans="1:4" ht="23.25">
      <c r="A106" s="1">
        <v>106</v>
      </c>
      <c r="B106" s="5" t="s">
        <v>127</v>
      </c>
      <c r="C106" s="1" t="s">
        <v>16</v>
      </c>
      <c r="D106" s="5">
        <f>D77/D33-D77*D73/D32</f>
        <v>16.823850931677008</v>
      </c>
    </row>
    <row r="107" spans="1:4" ht="23.25">
      <c r="A107" s="1">
        <v>107</v>
      </c>
      <c r="B107" s="5" t="s">
        <v>135</v>
      </c>
      <c r="C107" s="1"/>
      <c r="D107" s="5">
        <f>IF(D106&gt;D20,1,2)</f>
        <v>1</v>
      </c>
    </row>
    <row r="108" spans="1:4" ht="23.25">
      <c r="A108" s="1">
        <v>108</v>
      </c>
      <c r="B108" s="5" t="s">
        <v>128</v>
      </c>
      <c r="C108" s="1" t="s">
        <v>16</v>
      </c>
      <c r="D108" s="5">
        <f>D77/D33+D77*D73/D32</f>
        <v>136.12024844720497</v>
      </c>
    </row>
    <row r="109" spans="1:4" ht="23.25">
      <c r="A109" s="1">
        <v>109</v>
      </c>
      <c r="B109" s="5" t="s">
        <v>129</v>
      </c>
      <c r="C109" s="1"/>
      <c r="D109" s="5">
        <f>IF(D108&lt;D19,1,2)</f>
        <v>1</v>
      </c>
    </row>
    <row r="110" spans="1:4" ht="23.25">
      <c r="A110" s="1">
        <v>110</v>
      </c>
      <c r="B110" s="5" t="s">
        <v>130</v>
      </c>
      <c r="C110" s="1" t="s">
        <v>16</v>
      </c>
      <c r="D110" s="5">
        <f>D77/D33-D77*D73/D32+(D46+D47)/D32+(D48+D49)/D35</f>
        <v>154.53579287006528</v>
      </c>
    </row>
    <row r="111" spans="1:4" ht="23.25">
      <c r="A111" s="1">
        <v>111</v>
      </c>
      <c r="B111" s="5" t="s">
        <v>131</v>
      </c>
      <c r="C111" s="1"/>
      <c r="D111" s="5">
        <f>IF(D110&lt;D19,1,2)</f>
        <v>1</v>
      </c>
    </row>
    <row r="112" spans="1:4" ht="23.25">
      <c r="A112" s="1">
        <v>112</v>
      </c>
      <c r="B112" s="5" t="s">
        <v>132</v>
      </c>
      <c r="C112" s="1" t="s">
        <v>16</v>
      </c>
      <c r="D112" s="5">
        <f>D77/D33+D77*D73/D32-(D46+D47)/D32-(D48+D49)/D36</f>
        <v>-29.91226489836064</v>
      </c>
    </row>
    <row r="113" spans="1:4" ht="23.25">
      <c r="A113" s="1">
        <v>113</v>
      </c>
      <c r="B113" s="5" t="s">
        <v>126</v>
      </c>
      <c r="C113" s="1"/>
      <c r="D113" s="5">
        <f>IF(D112&gt;D20,1,2)</f>
        <v>1</v>
      </c>
    </row>
    <row r="114" spans="1:4" ht="23.25">
      <c r="A114" s="1">
        <v>114</v>
      </c>
      <c r="B114" s="5" t="s">
        <v>133</v>
      </c>
      <c r="C114" s="1" t="s">
        <v>16</v>
      </c>
      <c r="D114" s="5">
        <f>D77/D33-D77*D73/D32</f>
        <v>16.823850931677008</v>
      </c>
    </row>
    <row r="115" spans="1:4" ht="23.25">
      <c r="A115" s="1">
        <v>115</v>
      </c>
      <c r="B115" s="5" t="s">
        <v>134</v>
      </c>
      <c r="C115" s="1"/>
      <c r="D115" s="5">
        <f>IF(D114&gt;D20,1,2)</f>
        <v>1</v>
      </c>
    </row>
    <row r="116" spans="1:4" ht="23.25">
      <c r="A116" s="1">
        <v>116</v>
      </c>
      <c r="B116" s="5" t="s">
        <v>136</v>
      </c>
      <c r="C116" s="1" t="s">
        <v>16</v>
      </c>
      <c r="D116" s="5">
        <f>D77/D33+D77*D73/D32</f>
        <v>136.12024844720497</v>
      </c>
    </row>
    <row r="117" spans="1:4" ht="23.25">
      <c r="A117" s="1">
        <v>117</v>
      </c>
      <c r="B117" s="5" t="s">
        <v>129</v>
      </c>
      <c r="C117" s="1"/>
      <c r="D117" s="5">
        <f>IF(D116&lt;D19,1,2)</f>
        <v>1</v>
      </c>
    </row>
    <row r="118" spans="1:4" ht="23.25">
      <c r="A118" s="1">
        <v>118</v>
      </c>
      <c r="B118" s="5" t="s">
        <v>137</v>
      </c>
      <c r="C118" s="1" t="s">
        <v>16</v>
      </c>
      <c r="D118" s="5">
        <f>D22*(D48+D49)*D25/D34</f>
        <v>27.103343840079674</v>
      </c>
    </row>
    <row r="119" spans="1:4" ht="23.25">
      <c r="A119" s="1">
        <v>119</v>
      </c>
      <c r="B119" s="5" t="s">
        <v>138</v>
      </c>
      <c r="C119" s="1" t="s">
        <v>16</v>
      </c>
      <c r="D119" s="5">
        <f>0.45*D11</f>
        <v>108</v>
      </c>
    </row>
    <row r="120" spans="1:4" ht="23.25">
      <c r="A120" s="1">
        <v>120</v>
      </c>
      <c r="B120" s="5" t="s">
        <v>139</v>
      </c>
      <c r="C120" s="1"/>
      <c r="D120" s="5">
        <f>IF(D118&lt;D119,1,2)</f>
        <v>1</v>
      </c>
    </row>
    <row r="121" spans="1:4" ht="23.25">
      <c r="A121" s="1">
        <v>121</v>
      </c>
      <c r="B121" s="4" t="s">
        <v>140</v>
      </c>
      <c r="C121" s="1"/>
      <c r="D121" s="5"/>
    </row>
    <row r="122" spans="1:4" ht="23.25">
      <c r="A122" s="1">
        <v>122</v>
      </c>
      <c r="B122" s="5" t="s">
        <v>141</v>
      </c>
      <c r="C122" s="1" t="s">
        <v>51</v>
      </c>
      <c r="D122" s="5">
        <f>D90*D83*D85</f>
        <v>24197.25</v>
      </c>
    </row>
    <row r="123" spans="1:4" ht="23.25">
      <c r="A123" s="1">
        <v>123</v>
      </c>
      <c r="B123" s="5" t="s">
        <v>142</v>
      </c>
      <c r="C123" s="1" t="s">
        <v>51</v>
      </c>
      <c r="D123" s="5">
        <f>D77</f>
        <v>13382.608695652174</v>
      </c>
    </row>
    <row r="124" spans="1:4" ht="23.25">
      <c r="A124" s="1">
        <v>124</v>
      </c>
      <c r="B124" s="5" t="s">
        <v>143</v>
      </c>
      <c r="C124" s="1"/>
      <c r="D124" s="5">
        <f>D123/D122</f>
        <v>0.5530632074162218</v>
      </c>
    </row>
    <row r="125" spans="1:4" ht="23.25">
      <c r="A125" s="1">
        <v>125</v>
      </c>
      <c r="B125" s="5" t="s">
        <v>144</v>
      </c>
      <c r="C125" s="1"/>
      <c r="D125" s="5">
        <f>IF(D124&gt;0.5,1,2)</f>
        <v>1</v>
      </c>
    </row>
    <row r="126" spans="1:4" ht="23.25">
      <c r="A126" s="1">
        <v>126</v>
      </c>
      <c r="B126" s="5" t="s">
        <v>145</v>
      </c>
      <c r="C126" s="1"/>
      <c r="D126" s="5"/>
    </row>
    <row r="127" spans="1:4" ht="23.25">
      <c r="A127" s="1">
        <v>127</v>
      </c>
      <c r="B127" s="5" t="s">
        <v>146</v>
      </c>
      <c r="C127" s="1" t="s">
        <v>16</v>
      </c>
      <c r="D127" s="5">
        <f>D85</f>
        <v>17500</v>
      </c>
    </row>
    <row r="128" spans="1:4" ht="23.25">
      <c r="A128" s="1">
        <v>128</v>
      </c>
      <c r="B128" s="5" t="s">
        <v>147</v>
      </c>
      <c r="C128" s="1" t="s">
        <v>16</v>
      </c>
      <c r="D128" s="5">
        <f>D84</f>
        <v>15000</v>
      </c>
    </row>
    <row r="129" spans="1:4" ht="23.25">
      <c r="A129" s="1">
        <v>129</v>
      </c>
      <c r="B129" s="5" t="s">
        <v>148</v>
      </c>
      <c r="C129" s="1"/>
      <c r="D129" s="5">
        <f>D128/D127</f>
        <v>0.8571428571428571</v>
      </c>
    </row>
    <row r="130" spans="1:4" ht="23.25">
      <c r="A130" s="1">
        <v>130</v>
      </c>
      <c r="B130" s="5" t="s">
        <v>149</v>
      </c>
      <c r="C130" s="1"/>
      <c r="D130" s="5">
        <f>IF(D129&lt;0.85,"Error",IF(D129&gt;=0.9,0.28,0.4))</f>
        <v>0.4</v>
      </c>
    </row>
    <row r="131" spans="1:4" ht="23.25">
      <c r="A131" s="1">
        <v>131</v>
      </c>
      <c r="B131" s="5" t="s">
        <v>150</v>
      </c>
      <c r="C131" s="1" t="s">
        <v>12</v>
      </c>
      <c r="D131" s="5">
        <f>D6</f>
        <v>35</v>
      </c>
    </row>
    <row r="132" spans="1:4" ht="23.25">
      <c r="A132" s="1">
        <v>132</v>
      </c>
      <c r="B132" s="5" t="s">
        <v>151</v>
      </c>
      <c r="C132" s="1" t="s">
        <v>12</v>
      </c>
      <c r="D132" s="5">
        <f>D8+D7/2+D73</f>
        <v>8.15</v>
      </c>
    </row>
    <row r="133" spans="1:4" ht="23.25">
      <c r="A133" s="1">
        <v>133</v>
      </c>
      <c r="B133" s="5" t="s">
        <v>152</v>
      </c>
      <c r="C133" s="1" t="s">
        <v>12</v>
      </c>
      <c r="D133" s="5">
        <f>0.8*(D7+D8)</f>
        <v>8</v>
      </c>
    </row>
    <row r="134" spans="1:4" ht="23.25">
      <c r="A134" s="1">
        <v>134</v>
      </c>
      <c r="B134" s="5" t="s">
        <v>153</v>
      </c>
      <c r="C134" s="1" t="s">
        <v>12</v>
      </c>
      <c r="D134" s="5">
        <f>IF(D132&gt;=D133,D132,D133)</f>
        <v>8.15</v>
      </c>
    </row>
    <row r="135" spans="1:4" ht="23.25">
      <c r="A135" s="1">
        <v>135</v>
      </c>
      <c r="B135" s="4" t="s">
        <v>154</v>
      </c>
      <c r="C135" s="1"/>
      <c r="D135" s="5"/>
    </row>
    <row r="136" spans="1:4" ht="23.25">
      <c r="A136" s="1">
        <v>136</v>
      </c>
      <c r="B136" s="5" t="s">
        <v>157</v>
      </c>
      <c r="C136" s="1" t="s">
        <v>16</v>
      </c>
      <c r="D136" s="5">
        <f>D11</f>
        <v>240</v>
      </c>
    </row>
    <row r="137" spans="1:4" ht="23.25">
      <c r="A137" s="1">
        <v>137</v>
      </c>
      <c r="B137" s="5" t="s">
        <v>155</v>
      </c>
      <c r="C137" s="1"/>
      <c r="D137" s="5">
        <f>IF(D136&lt;=280,0.85,IF(D136&gt;560,0.65,0.85-0.05/70*(D136-280)))</f>
        <v>0.85</v>
      </c>
    </row>
    <row r="138" spans="1:4" ht="23.25">
      <c r="A138" s="1">
        <v>138</v>
      </c>
      <c r="B138" s="5" t="s">
        <v>156</v>
      </c>
      <c r="C138" s="1"/>
      <c r="D138" s="5">
        <f>D90*D83/D131/D134</f>
        <v>0.0048473269062226125</v>
      </c>
    </row>
    <row r="139" spans="1:4" ht="23.25">
      <c r="A139" s="1">
        <v>139</v>
      </c>
      <c r="B139" s="5" t="s">
        <v>158</v>
      </c>
      <c r="C139" s="1"/>
      <c r="D139" s="5">
        <v>0</v>
      </c>
    </row>
    <row r="140" spans="1:4" ht="23.25">
      <c r="A140" s="1">
        <v>140</v>
      </c>
      <c r="B140" s="5" t="s">
        <v>159</v>
      </c>
      <c r="C140" s="1" t="s">
        <v>16</v>
      </c>
      <c r="D140" s="5">
        <f>D127*(1-D130/D137*(D138*D127/D136+0))</f>
        <v>14589.227715626128</v>
      </c>
    </row>
    <row r="141" spans="1:4" ht="23.25">
      <c r="A141" s="1">
        <v>141</v>
      </c>
      <c r="B141" s="5" t="s">
        <v>160</v>
      </c>
      <c r="C141" s="1" t="s">
        <v>12</v>
      </c>
      <c r="D141" s="5">
        <f>D90*D83*D140/0.85/D136/D131</f>
        <v>2.8252836361899503</v>
      </c>
    </row>
    <row r="142" spans="1:4" ht="23.25">
      <c r="A142" s="1">
        <v>142</v>
      </c>
      <c r="B142" s="5" t="s">
        <v>161</v>
      </c>
      <c r="C142" s="1"/>
      <c r="D142" s="5">
        <f>IF(D141&lt;D8,1,2)</f>
        <v>1</v>
      </c>
    </row>
    <row r="143" spans="1:4" ht="23.25">
      <c r="A143" s="1">
        <v>143</v>
      </c>
      <c r="B143" s="4" t="s">
        <v>162</v>
      </c>
      <c r="C143" s="1"/>
      <c r="D143" s="5"/>
    </row>
    <row r="144" spans="1:4" ht="23.25">
      <c r="A144" s="1">
        <v>144</v>
      </c>
      <c r="B144" s="5" t="s">
        <v>163</v>
      </c>
      <c r="C144" s="1" t="s">
        <v>16</v>
      </c>
      <c r="D144" s="5">
        <f>D10</f>
        <v>350</v>
      </c>
    </row>
    <row r="145" spans="1:4" ht="23.25">
      <c r="A145" s="1">
        <v>145</v>
      </c>
      <c r="B145" s="5" t="s">
        <v>155</v>
      </c>
      <c r="C145" s="1"/>
      <c r="D145" s="5">
        <f>IF(D144&lt;=280,0.85,IF(D144&gt;560,0.65,0.85-0.05/70*(D144-280)))</f>
        <v>0.7999999999999999</v>
      </c>
    </row>
    <row r="146" spans="1:4" ht="23.25">
      <c r="A146" s="1">
        <v>146</v>
      </c>
      <c r="B146" s="5" t="s">
        <v>159</v>
      </c>
      <c r="C146" s="1" t="s">
        <v>16</v>
      </c>
      <c r="D146" s="5">
        <f>D127*(1-D130/D145*(D138*D127/D144+0))</f>
        <v>15379.294478527607</v>
      </c>
    </row>
    <row r="147" spans="1:4" ht="23.25">
      <c r="A147" s="1">
        <v>147</v>
      </c>
      <c r="B147" s="5" t="s">
        <v>164</v>
      </c>
      <c r="C147" s="1"/>
      <c r="D147" s="5"/>
    </row>
    <row r="148" spans="1:4" ht="23.25">
      <c r="A148" s="1">
        <v>148</v>
      </c>
      <c r="B148" s="5" t="s">
        <v>165</v>
      </c>
      <c r="C148" s="1" t="s">
        <v>12</v>
      </c>
      <c r="D148" s="5">
        <f>D8+(D90*D83*D146-0.85*D144*D23*D8)/(0.85*D144*D6)</f>
        <v>2.9018587904486477</v>
      </c>
    </row>
    <row r="149" spans="1:4" ht="23.25">
      <c r="A149" s="1">
        <v>149</v>
      </c>
      <c r="B149" s="7" t="s">
        <v>166</v>
      </c>
      <c r="C149" s="1"/>
      <c r="D149" s="5">
        <f>IF(D148&lt;D8,1,2)</f>
        <v>1</v>
      </c>
    </row>
    <row r="150" spans="1:4" ht="23.25">
      <c r="A150" s="1">
        <v>150</v>
      </c>
      <c r="B150" s="7" t="s">
        <v>167</v>
      </c>
      <c r="C150" s="1"/>
      <c r="D150" s="5">
        <f>IF(D142=1,1,2)</f>
        <v>1</v>
      </c>
    </row>
    <row r="151" spans="1:4" ht="23.25">
      <c r="A151" s="1">
        <v>151</v>
      </c>
      <c r="B151" s="7" t="s">
        <v>159</v>
      </c>
      <c r="C151" s="1" t="s">
        <v>16</v>
      </c>
      <c r="D151" s="5">
        <f>IF(D150=1,D140,D146)</f>
        <v>14589.227715626128</v>
      </c>
    </row>
    <row r="152" spans="1:4" ht="23.25">
      <c r="A152" s="1">
        <v>152</v>
      </c>
      <c r="B152" s="7" t="s">
        <v>160</v>
      </c>
      <c r="C152" s="1" t="s">
        <v>12</v>
      </c>
      <c r="D152" s="5">
        <f>IF(D150=1,D141,D148)</f>
        <v>2.8252836361899503</v>
      </c>
    </row>
    <row r="153" spans="1:4" ht="23.25">
      <c r="A153" s="1">
        <v>153</v>
      </c>
      <c r="B153" s="7" t="s">
        <v>168</v>
      </c>
      <c r="C153" s="1" t="s">
        <v>61</v>
      </c>
      <c r="D153" s="5">
        <f>D90*D83*D151*(D134-D152/2)</f>
        <v>135909.52745255534</v>
      </c>
    </row>
    <row r="154" spans="1:4" ht="23.25">
      <c r="A154" s="1">
        <v>154</v>
      </c>
      <c r="B154" s="7" t="s">
        <v>169</v>
      </c>
      <c r="C154" s="1" t="s">
        <v>61</v>
      </c>
      <c r="D154" s="5">
        <f>D153*0.9</f>
        <v>122318.5747072998</v>
      </c>
    </row>
    <row r="155" spans="1:4" ht="23.25">
      <c r="A155" s="1">
        <v>155</v>
      </c>
      <c r="B155" s="7" t="s">
        <v>170</v>
      </c>
      <c r="C155" s="1" t="s">
        <v>61</v>
      </c>
      <c r="D155" s="5">
        <f>1.4*(D46+D47+D48)+1.7*D49</f>
        <v>54721.50468749998</v>
      </c>
    </row>
    <row r="156" spans="1:4" ht="23.25">
      <c r="A156" s="1">
        <v>156</v>
      </c>
      <c r="B156" s="7" t="s">
        <v>171</v>
      </c>
      <c r="C156" s="1"/>
      <c r="D156" s="5">
        <f>IF(D155&lt;=D154,1,2)</f>
        <v>1</v>
      </c>
    </row>
    <row r="157" spans="1:4" ht="23.25">
      <c r="A157" s="1">
        <v>157</v>
      </c>
      <c r="B157" s="4" t="s">
        <v>172</v>
      </c>
      <c r="C157" s="1"/>
      <c r="D157" s="5"/>
    </row>
    <row r="158" spans="1:4" ht="23.25">
      <c r="A158" s="1">
        <v>158</v>
      </c>
      <c r="B158" s="5" t="s">
        <v>173</v>
      </c>
      <c r="C158" s="1" t="s">
        <v>61</v>
      </c>
      <c r="D158" s="5">
        <f>D46+D47</f>
        <v>19868.624999999993</v>
      </c>
    </row>
    <row r="159" spans="1:4" ht="23.25">
      <c r="A159" s="1">
        <v>159</v>
      </c>
      <c r="B159" s="5" t="s">
        <v>174</v>
      </c>
      <c r="C159" s="1" t="s">
        <v>16</v>
      </c>
      <c r="D159" s="5">
        <f>2*SQRT(D10)</f>
        <v>37.416573867739416</v>
      </c>
    </row>
    <row r="160" spans="1:4" ht="23.25">
      <c r="A160" s="1">
        <v>160</v>
      </c>
      <c r="B160" s="4" t="s">
        <v>175</v>
      </c>
      <c r="C160" s="1"/>
      <c r="D160" s="5"/>
    </row>
    <row r="161" spans="1:4" ht="23.25">
      <c r="A161" s="1">
        <v>161</v>
      </c>
      <c r="B161" s="5" t="s">
        <v>176</v>
      </c>
      <c r="C161" s="1"/>
      <c r="D161" s="5">
        <f>D41*D75*D32/D33</f>
        <v>11152.173913043476</v>
      </c>
    </row>
    <row r="162" spans="1:4" ht="23.25">
      <c r="A162" s="1">
        <v>162</v>
      </c>
      <c r="B162" s="5" t="s">
        <v>177</v>
      </c>
      <c r="C162" s="1"/>
      <c r="D162" s="5">
        <f>D41*D75*D73-D158</f>
        <v>-11169.929347826079</v>
      </c>
    </row>
    <row r="163" spans="1:4" ht="23.25">
      <c r="A163" s="1">
        <v>163</v>
      </c>
      <c r="B163" s="5" t="s">
        <v>178</v>
      </c>
      <c r="C163" s="1"/>
      <c r="D163" s="5">
        <f>D159*D32</f>
        <v>5456.583689045331</v>
      </c>
    </row>
    <row r="164" spans="1:4" ht="23.25">
      <c r="A164" s="1">
        <v>164</v>
      </c>
      <c r="B164" s="5" t="s">
        <v>179</v>
      </c>
      <c r="C164" s="1"/>
      <c r="D164" s="5">
        <f>(D161+D162+D163)/D38</f>
        <v>20727.986748158335</v>
      </c>
    </row>
    <row r="165" spans="1:4" ht="23.25">
      <c r="A165" s="1">
        <v>165</v>
      </c>
      <c r="B165" s="7" t="s">
        <v>180</v>
      </c>
      <c r="C165" s="1" t="s">
        <v>61</v>
      </c>
      <c r="D165" s="5">
        <f>D158+D164</f>
        <v>40596.61174815833</v>
      </c>
    </row>
    <row r="166" spans="1:4" ht="23.25">
      <c r="A166" s="1">
        <v>166</v>
      </c>
      <c r="B166" s="7" t="s">
        <v>181</v>
      </c>
      <c r="C166" s="1" t="s">
        <v>61</v>
      </c>
      <c r="D166" s="5">
        <f>1.2*D165</f>
        <v>48715.93409778999</v>
      </c>
    </row>
    <row r="167" spans="1:4" ht="23.25">
      <c r="A167" s="1">
        <v>167</v>
      </c>
      <c r="B167" s="7" t="s">
        <v>182</v>
      </c>
      <c r="C167" s="1"/>
      <c r="D167" s="5">
        <f>IF(D154&gt;D166,1,2)</f>
        <v>1</v>
      </c>
    </row>
    <row r="168" spans="1:4" ht="23.25">
      <c r="A168" s="1">
        <v>168</v>
      </c>
      <c r="B168" s="4" t="s">
        <v>183</v>
      </c>
      <c r="C168" s="1"/>
      <c r="D168" s="5"/>
    </row>
    <row r="169" spans="1:4" ht="23.25">
      <c r="A169" s="1">
        <v>169</v>
      </c>
      <c r="B169" s="5" t="s">
        <v>184</v>
      </c>
      <c r="C169" s="1" t="s">
        <v>56</v>
      </c>
      <c r="D169" s="5">
        <f>1.4*(D42+D43+D44)+1.7*D45</f>
        <v>231.35</v>
      </c>
    </row>
    <row r="170" spans="1:4" ht="23.25">
      <c r="A170" s="1">
        <v>170</v>
      </c>
      <c r="B170" s="5" t="s">
        <v>185</v>
      </c>
      <c r="C170" s="1" t="s">
        <v>51</v>
      </c>
      <c r="D170" s="5">
        <f>D169*D5/2</f>
        <v>503.18625</v>
      </c>
    </row>
    <row r="171" spans="1:4" ht="23.25">
      <c r="A171" s="1">
        <v>171</v>
      </c>
      <c r="B171" s="5" t="s">
        <v>186</v>
      </c>
      <c r="C171" s="1" t="s">
        <v>16</v>
      </c>
      <c r="D171" s="5">
        <f>D170/0.85/D131/D134</f>
        <v>2.075315770479971</v>
      </c>
    </row>
    <row r="172" spans="1:4" ht="23.25">
      <c r="A172" s="1">
        <v>172</v>
      </c>
      <c r="B172" s="5" t="s">
        <v>187</v>
      </c>
      <c r="C172" s="1"/>
      <c r="D172" s="5"/>
    </row>
    <row r="173" spans="1:4" ht="23.25">
      <c r="A173" s="1">
        <v>173</v>
      </c>
      <c r="B173" s="5" t="s">
        <v>188</v>
      </c>
      <c r="C173" s="1"/>
      <c r="D173" s="5">
        <f>IF(D171&lt;=5.6,1,2)</f>
        <v>1</v>
      </c>
    </row>
    <row r="174" spans="1:4" ht="23.25">
      <c r="A174" s="1">
        <v>174</v>
      </c>
      <c r="B174" s="4" t="s">
        <v>189</v>
      </c>
      <c r="C174" s="1"/>
      <c r="D174" s="5"/>
    </row>
    <row r="175" spans="1:4" ht="23.25">
      <c r="A175" s="1">
        <v>175</v>
      </c>
      <c r="B175" s="5" t="s">
        <v>190</v>
      </c>
      <c r="C175" s="1" t="s">
        <v>10</v>
      </c>
      <c r="D175" s="5">
        <f>D134/100</f>
        <v>0.0815</v>
      </c>
    </row>
    <row r="176" spans="1:4" ht="23.25">
      <c r="A176" s="1">
        <v>176</v>
      </c>
      <c r="B176" s="5" t="s">
        <v>191</v>
      </c>
      <c r="C176" s="1" t="s">
        <v>51</v>
      </c>
      <c r="D176" s="5">
        <f>D169*(D5/2-D175)</f>
        <v>484.3312249999999</v>
      </c>
    </row>
    <row r="177" spans="1:4" ht="23.25">
      <c r="A177" s="1">
        <v>177</v>
      </c>
      <c r="B177" s="5" t="s">
        <v>192</v>
      </c>
      <c r="C177" s="1"/>
      <c r="D177" s="5"/>
    </row>
    <row r="178" spans="1:4" ht="23.25">
      <c r="A178" s="1">
        <v>178</v>
      </c>
      <c r="B178" s="4" t="s">
        <v>193</v>
      </c>
      <c r="C178" s="1"/>
      <c r="D178" s="5"/>
    </row>
    <row r="179" spans="1:4" ht="23.25">
      <c r="A179" s="1">
        <v>179</v>
      </c>
      <c r="B179" s="5" t="s">
        <v>194</v>
      </c>
      <c r="C179" s="1" t="s">
        <v>51</v>
      </c>
      <c r="D179" s="5">
        <f>(D42+D43)*(D5/2-D175)</f>
        <v>175.85399999999998</v>
      </c>
    </row>
    <row r="180" spans="1:4" ht="23.25">
      <c r="A180" s="1">
        <v>180</v>
      </c>
      <c r="B180" s="5" t="s">
        <v>195</v>
      </c>
      <c r="C180" s="1" t="s">
        <v>51</v>
      </c>
      <c r="D180" s="5">
        <f>(1.4*D44+1.7*D45)*(D5/2-D175)</f>
        <v>238.13562499999998</v>
      </c>
    </row>
    <row r="181" spans="1:4" ht="23.25">
      <c r="A181" s="1">
        <v>181</v>
      </c>
      <c r="B181" s="5" t="s">
        <v>196</v>
      </c>
      <c r="C181" s="1" t="s">
        <v>61</v>
      </c>
      <c r="D181" s="5">
        <f>D180*D175*50</f>
        <v>970.4026718749999</v>
      </c>
    </row>
    <row r="182" spans="1:4" ht="23.25">
      <c r="A182" s="1">
        <v>182</v>
      </c>
      <c r="B182" s="5" t="s">
        <v>197</v>
      </c>
      <c r="C182" s="1" t="s">
        <v>51</v>
      </c>
      <c r="D182" s="5">
        <f>0.16*SQRT(D10)*D6*D134+D179+D180*D164/D181</f>
        <v>6116.322730547295</v>
      </c>
    </row>
    <row r="183" spans="1:4" ht="23.25">
      <c r="A183" s="1">
        <v>183</v>
      </c>
      <c r="B183" s="4" t="s">
        <v>198</v>
      </c>
      <c r="C183" s="1"/>
      <c r="D183" s="5"/>
    </row>
    <row r="184" spans="1:4" ht="23.25">
      <c r="A184" s="1">
        <v>184</v>
      </c>
      <c r="B184" s="4" t="s">
        <v>200</v>
      </c>
      <c r="C184" s="1"/>
      <c r="D184" s="5"/>
    </row>
    <row r="185" spans="1:4" ht="23.25">
      <c r="A185" s="1">
        <v>185</v>
      </c>
      <c r="B185" s="5" t="s">
        <v>199</v>
      </c>
      <c r="C185" s="1"/>
      <c r="D185" s="5">
        <f>D41*D75/D33</f>
        <v>76.472049689441</v>
      </c>
    </row>
    <row r="186" spans="1:4" ht="23.25">
      <c r="A186" s="1">
        <v>186</v>
      </c>
      <c r="B186" s="5" t="s">
        <v>201</v>
      </c>
      <c r="C186" s="1"/>
      <c r="D186" s="5">
        <f>D41*D75*D73*(D8+D7/2-D25)/D31</f>
        <v>54.03859466806507</v>
      </c>
    </row>
    <row r="187" spans="1:4" ht="23.25">
      <c r="A187" s="1">
        <v>187</v>
      </c>
      <c r="B187" s="5" t="s">
        <v>202</v>
      </c>
      <c r="C187" s="1"/>
      <c r="D187" s="5">
        <f>D158*(D8+D7/2-D25)/D31</f>
        <v>123.42914569248778</v>
      </c>
    </row>
    <row r="188" spans="1:4" ht="23.25">
      <c r="A188" s="1">
        <v>188</v>
      </c>
      <c r="B188" s="5" t="s">
        <v>203</v>
      </c>
      <c r="C188" s="1" t="s">
        <v>16</v>
      </c>
      <c r="D188" s="5">
        <f>D185-D186+D187</f>
        <v>145.86260071386369</v>
      </c>
    </row>
    <row r="189" spans="1:4" ht="23.25">
      <c r="A189" s="1">
        <v>189</v>
      </c>
      <c r="B189" s="5" t="s">
        <v>204</v>
      </c>
      <c r="C189" s="1"/>
      <c r="D189" s="5">
        <v>0</v>
      </c>
    </row>
    <row r="190" spans="1:4" ht="23.25">
      <c r="A190" s="1">
        <v>190</v>
      </c>
      <c r="B190" s="5" t="s">
        <v>205</v>
      </c>
      <c r="C190" s="1" t="s">
        <v>51</v>
      </c>
      <c r="D190" s="5">
        <f>(0.93*SQRT(D10)+0.3*D188)*D6*D134+D189</f>
        <v>17445.173184623178</v>
      </c>
    </row>
    <row r="191" spans="1:4" ht="23.25">
      <c r="A191" s="1">
        <v>191</v>
      </c>
      <c r="B191" s="5" t="s">
        <v>206</v>
      </c>
      <c r="C191" s="1" t="s">
        <v>51</v>
      </c>
      <c r="D191" s="5">
        <f>IF(D182&lt;D190,D182,D190)</f>
        <v>6116.322730547295</v>
      </c>
    </row>
    <row r="192" spans="1:4" ht="23.25">
      <c r="A192" s="1">
        <v>192</v>
      </c>
      <c r="B192" s="5" t="s">
        <v>207</v>
      </c>
      <c r="C192" s="1" t="s">
        <v>51</v>
      </c>
      <c r="D192" s="5">
        <f>0.85*D191</f>
        <v>5198.8743209652</v>
      </c>
    </row>
    <row r="193" spans="1:4" ht="23.25">
      <c r="A193" s="1">
        <v>193</v>
      </c>
      <c r="B193" s="5" t="s">
        <v>208</v>
      </c>
      <c r="C193" s="1"/>
      <c r="D193" s="5">
        <f>IF(D192&gt;D176,1,2)</f>
        <v>1</v>
      </c>
    </row>
    <row r="194" spans="1:4" ht="23.25">
      <c r="A194" s="1"/>
      <c r="B194" s="7" t="s">
        <v>209</v>
      </c>
      <c r="C194" s="1"/>
      <c r="D194" s="5"/>
    </row>
    <row r="195" spans="1:4" ht="23.25">
      <c r="A195" s="10"/>
      <c r="B195" s="11"/>
      <c r="C195" s="10"/>
      <c r="D195" s="11"/>
    </row>
    <row r="196" spans="1:4" ht="23.25">
      <c r="A196" s="10"/>
      <c r="B196" s="11"/>
      <c r="C196" s="10"/>
      <c r="D196" s="11"/>
    </row>
    <row r="197" spans="1:4" ht="23.25">
      <c r="A197" s="10"/>
      <c r="B197" s="11"/>
      <c r="C197" s="10"/>
      <c r="D197" s="11"/>
    </row>
    <row r="198" spans="1:4" ht="23.25">
      <c r="A198" s="10"/>
      <c r="B198" s="11"/>
      <c r="C198" s="10"/>
      <c r="D198" s="11"/>
    </row>
    <row r="199" spans="1:4" ht="23.25">
      <c r="A199" s="10"/>
      <c r="B199" s="11"/>
      <c r="C199" s="10"/>
      <c r="D199" s="11"/>
    </row>
    <row r="200" spans="1:4" ht="23.25">
      <c r="A200" s="10"/>
      <c r="B200" s="11"/>
      <c r="C200" s="10"/>
      <c r="D200" s="11"/>
    </row>
  </sheetData>
  <printOptions/>
  <pageMargins left="0.75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Senbe</dc:creator>
  <cp:keywords/>
  <dc:description/>
  <cp:lastModifiedBy>iLLuSioN</cp:lastModifiedBy>
  <cp:lastPrinted>2007-02-22T08:27:56Z</cp:lastPrinted>
  <dcterms:created xsi:type="dcterms:W3CDTF">2007-02-22T03:35:01Z</dcterms:created>
  <dcterms:modified xsi:type="dcterms:W3CDTF">2007-03-13T14:45:55Z</dcterms:modified>
  <cp:category/>
  <cp:version/>
  <cp:contentType/>
  <cp:contentStatus/>
</cp:coreProperties>
</file>