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235" activeTab="0"/>
  </bookViews>
  <sheets>
    <sheet name="Chap8" sheetId="1" r:id="rId1"/>
    <sheet name="Sheet2" sheetId="2" r:id="rId2"/>
    <sheet name="Sheet3" sheetId="3" r:id="rId3"/>
  </sheets>
  <definedNames>
    <definedName name="_xlnm.Print_Area" localSheetId="0">'Chap8'!$A$1:$D$190</definedName>
  </definedNames>
  <calcPr fullCalcOnLoad="1"/>
</workbook>
</file>

<file path=xl/sharedStrings.xml><?xml version="1.0" encoding="utf-8"?>
<sst xmlns="http://schemas.openxmlformats.org/spreadsheetml/2006/main" count="313" uniqueCount="204">
  <si>
    <t>ความยาวช่วง</t>
  </si>
  <si>
    <t>เมตร</t>
  </si>
  <si>
    <t>ความหนาคอนกรีตทับหน้า</t>
  </si>
  <si>
    <t>น้ำหนักบรรทุกจร</t>
  </si>
  <si>
    <t>kg/m2</t>
  </si>
  <si>
    <t>ksc</t>
  </si>
  <si>
    <t>รายการ</t>
  </si>
  <si>
    <t>หน่วย</t>
  </si>
  <si>
    <t>ค่า</t>
  </si>
  <si>
    <t>กำลังคอนกรีตตอนถ่ายแรง,f'ci</t>
  </si>
  <si>
    <t>กำลังคอนกรีตตอนใช้งาน,f'c</t>
  </si>
  <si>
    <t>กำลังคอนกรีตทับหน้า,f'ct</t>
  </si>
  <si>
    <t>กำลังเหล็กเสริมธรรมดา,fy</t>
  </si>
  <si>
    <t>เนื้อที่หน้าตัดเหล็กเสริมอัดแรง 12.7 มม.</t>
  </si>
  <si>
    <t>ตร.ซม.</t>
  </si>
  <si>
    <t>kg</t>
  </si>
  <si>
    <t>แรงดึงประลัยของเหล็กอัดแรง 1 เส้น , Fpu</t>
  </si>
  <si>
    <t>แรงดึงครากของเหล็กอัดแรง 1 เส้น, Fpy</t>
  </si>
  <si>
    <t>การสูญเสียแรงอัดทั้งหมด</t>
  </si>
  <si>
    <t>การสูญเสียแรงอัดขณะถ่ายแรง</t>
  </si>
  <si>
    <t>%</t>
  </si>
  <si>
    <t>ความกว้างประสิทธิผล , be1=bw+16hf</t>
  </si>
  <si>
    <t>cm</t>
  </si>
  <si>
    <t>ความกว้างคาน, bw</t>
  </si>
  <si>
    <t>ความกว้างประสิทธิผล , be2=s</t>
  </si>
  <si>
    <t>ระยะห่าง, s</t>
  </si>
  <si>
    <t>ความกว้างประสิทธิผล, be3 = L/4</t>
  </si>
  <si>
    <t>ประมาณความลึกคาน h&gt;=L/30</t>
  </si>
  <si>
    <t>เลือกใช้ความลึกคาน, h กี่ cm</t>
  </si>
  <si>
    <t>หาหน่วยแรงที่ยอมให้</t>
  </si>
  <si>
    <t>ขณะถ่ายแรง แรงอัด Fci=0.60f'ci</t>
  </si>
  <si>
    <t>ขณะถ่ายแรง แรงดึง Fti=-0.8Sqrt(f'ci)</t>
  </si>
  <si>
    <t>ขณะใช้งาน แรงอัด Fc = 0.75f'c</t>
  </si>
  <si>
    <t>ขณะใช้งาน แรงดึง Ft = -1.6Sqrt(f'c)</t>
  </si>
  <si>
    <t>อัตราส่วนโมดูลัสยืดหยุ่น, nc=Ecslab/Ecprecast =Sqrt(f'ct/f'c)</t>
  </si>
  <si>
    <t>ความกว้างพื้นที่แปลงแล้ว ,btr=nc*be</t>
  </si>
  <si>
    <t>ระยะเซนทรอยด์หน้าตัดแปลงจากขอบบนของพื้น, y</t>
  </si>
  <si>
    <t>ระยะเซนทรอยด์หน้าตัดแปลงจากขอบล่างของคาน, cb'</t>
  </si>
  <si>
    <t>ระยะเซนทรอยด์หน้าตัดแปลงจากขอบบนของคาน,ct'</t>
  </si>
  <si>
    <t>หาสมบัติหน้าตัดของคานคอนกรีตอัดแรง</t>
  </si>
  <si>
    <t>เนื้อที่หน้าตัดคานคอนกรีตอัดแรง, A</t>
  </si>
  <si>
    <t>โมเมนต์อินเนอร์เชีย I = bh3/12</t>
  </si>
  <si>
    <t>ระยะจากแกนสะเทินถึงผิวบนและผิวล่าง , ct = cb</t>
  </si>
  <si>
    <t>cm3</t>
  </si>
  <si>
    <t>โมดูลัสหน้าตัดของคานรอบแกนสะเทิน, Z=I/c</t>
  </si>
  <si>
    <t>หาสมบัติของหน้าตัดแปลง</t>
  </si>
  <si>
    <t>โมเมนต์อินเนอร์เชียรวม , It</t>
  </si>
  <si>
    <t>โมดูลัสหน้าตัดของหน้าตัดแปลงตรงขอบบนของคาน, Zt'</t>
  </si>
  <si>
    <t>โมดูลัสหน้าตัดของหน้าตัดแปลงตรงขอบล่างของคาน, Zb'</t>
  </si>
  <si>
    <t>อัตราส่วน mt = Zt/Zt'=</t>
  </si>
  <si>
    <t>อัตราส่วน mb=Zb/Zb'</t>
  </si>
  <si>
    <t>คำนวณน้ำหนักบรรทุก</t>
  </si>
  <si>
    <t>น้ำหนักของคาน,wG</t>
  </si>
  <si>
    <t>kg/m</t>
  </si>
  <si>
    <t>น้ำหนักของพื้นคอนกรีตทับหน้า,wS</t>
  </si>
  <si>
    <t>น้ำหนักบรรทุกจร, wL</t>
  </si>
  <si>
    <t>น้ำหนักบรรทุกคงที่เพิ่มเติม</t>
  </si>
  <si>
    <t>หาแรงดึงขณะถ่ายแรง ขณะใช้งาน และอัตราส่วน R=Pe/Pi</t>
  </si>
  <si>
    <t>อัตราส่วนแรงดึงขณะถ่ายแรง Pi/Pj=1-%loss/100</t>
  </si>
  <si>
    <t>อัตราส่วนแรงดึงขณะใช้งาน Pe/Pj=1-%loss/100</t>
  </si>
  <si>
    <t>อัตราส่วนแรงดึงขณะถ่ายแรงต่อขณะใช้งาน, R = Pe/Pi</t>
  </si>
  <si>
    <t>หาแรงดัดจากน้ำหนักบรรทุก</t>
  </si>
  <si>
    <t>แรงดัดจากน้ำหนักบรรทุกตัวเอง MG = wGL^2/8</t>
  </si>
  <si>
    <t>แรงดัดจากน้ำหนักคอนกรีตทับหน้า MS = wSL^2/8</t>
  </si>
  <si>
    <t>แรงดัดจากน้ำหนักบรรทุกคงที่เพิ่มเติม MD'=wDL^2/8</t>
  </si>
  <si>
    <t>แรงดัดจากน้ำหนักบรรทุกจร ML=wLL^2/8</t>
  </si>
  <si>
    <t>kg.cm</t>
  </si>
  <si>
    <t>ตรวจสอบขนาดหน้าตัดว่าเพียงพอหรือไม่</t>
  </si>
  <si>
    <t>โมดูลัสหน้าตัดขั้นต่ำของขอบบน,Ztmin</t>
  </si>
  <si>
    <t>โมดูลัสหน้าตัดขั้นต่ำของขอบบน, Zbmin</t>
  </si>
  <si>
    <t>ถ้า Zbmin &lt;= Zb ถือว่าใช้ได้ ผลต่างเป็นบวก ค่าผลต่างคือ</t>
  </si>
  <si>
    <t>ถ้า Ztmin &lt;= Zt ถือว่าใช้ได้ ผลต่างเป็นบวก ค่าผลต่างคือ</t>
  </si>
  <si>
    <t>ออกแบบแรงอัดและระยะเยื้องศูนย์</t>
  </si>
  <si>
    <t>สมการ 8.18 เทอมเศษ Ae/Zt-1 เฉพาะค่า A/Zt</t>
  </si>
  <si>
    <t>สมการ 8.18 เทอมส่วน A(-Fti+MG/Zt)</t>
  </si>
  <si>
    <t>สมการ 8.19 เทอมเศษ Ae/Zb-1 เฉพาะค่า A/Zb</t>
  </si>
  <si>
    <t>สมการ 8.19 เทอมส่วน A(Fci+MG/Zb)</t>
  </si>
  <si>
    <t>MT'=MG+MS+mt(MD'+ML)</t>
  </si>
  <si>
    <t>MT'/Zt=</t>
  </si>
  <si>
    <t>ถ้า MT'/Zt&gt;Fc ใช้สมการ 8.20.1 ตรงข้ามใช้ 8.20.2 ใช้ .1 หรือ .2</t>
  </si>
  <si>
    <t>ความกว้างประสิทธิผลที่ใช้งานจริง , be(ผู้ใช้ป้อนค่า)</t>
  </si>
  <si>
    <t>สมการ 8.20.1 และ 8.20.2 เทอมเศษ Ae/Zt-1 เฉพาะค่า A/Zt</t>
  </si>
  <si>
    <t>สมการ 8.20.1และ 8.20.2  เทอมส่วน (A/R)(M'T/Zt-Fc)</t>
  </si>
  <si>
    <t>(8.20.1) 1/Pi&lt;= ทางขวา ส่วน (8.20.2) 1/Pi&gt;= ทางขวา</t>
  </si>
  <si>
    <t>MB'=MG+MS+mb(MD'+ML)</t>
  </si>
  <si>
    <t>สมการ 8.21 เทอมเศษ Ae/Zb+1 เฉพาะค่า A/Zb</t>
  </si>
  <si>
    <t>สมการ 8.21 เทอมส่วน (A/R)(MB'/Zb+Ft)</t>
  </si>
  <si>
    <t>แก้สมการหาค่า emin emax แล้วหาค่า Pi, Pj, Pe</t>
  </si>
  <si>
    <t>emax จาก 8.21 กับ 8.18</t>
  </si>
  <si>
    <t>emin จาก 8.21 กับ 8.20.1 หรือ 8.20.2</t>
  </si>
  <si>
    <t>e เฉลี่ยจากค่า max และค่า min</t>
  </si>
  <si>
    <t>โปรดเลือกค่า e ที่คิดว่าเหมาะสมและเหล็กไม่โผล่ท้องคานป้อนค่า</t>
  </si>
  <si>
    <t>ค่า Pi จากสมการ 8.21</t>
  </si>
  <si>
    <t xml:space="preserve"> ค่า Pj =Pi/Loss</t>
  </si>
  <si>
    <t>Fps = 0.94Fpy</t>
  </si>
  <si>
    <t>Fps=0.80Fpu</t>
  </si>
  <si>
    <t>แรงดึงในเหล็กอัดแรงแต่ละเส้น เลือกค่าน้อยไปใช้</t>
  </si>
  <si>
    <t>แรงดึงเหล็กแต่ละเส้นที่จะใช้</t>
  </si>
  <si>
    <t>จำนวนเส้นที่จะใช้ อย่างน้อย</t>
  </si>
  <si>
    <t>เส้น</t>
  </si>
  <si>
    <t>ใช้เหล็กจำนวนเส้นกี่เส้น โปรดป้อนค่า</t>
  </si>
  <si>
    <t>เฉลี่ยแรงดึงในเหล็กเส้นละ</t>
  </si>
  <si>
    <t>ตรวจสอบหน่วยแรงที่เกิดขึ้น</t>
  </si>
  <si>
    <t>ขณะถ่ายแรง</t>
  </si>
  <si>
    <t>ผิวบน =Pi/A-Pie/Zt+MG/Zt</t>
  </si>
  <si>
    <t>หน่วยแรงที่ยอมให้ของผิวบน Fti</t>
  </si>
  <si>
    <t>ผิวล่าง = Pi/A+Pie/Zb-MG/Zb</t>
  </si>
  <si>
    <t>หน่วยแรงที่ยอมให้ของผิวล่าง Fci</t>
  </si>
  <si>
    <t>ขณะเทพื้นคอนกรีตหล่อในที่</t>
  </si>
  <si>
    <t>ผิวบน = Pe/A-Pee/Zt+(MG+MS)/Zt</t>
  </si>
  <si>
    <t>ผิวล่าง = Pe/A+Pee/Zb-(MG+MS)/Zb</t>
  </si>
  <si>
    <t>หน่วยแรงที่ยอมให้ของผิวบน Fc</t>
  </si>
  <si>
    <t>หน่วยแรงที่ยอมให้ของผิวล่าง Ft</t>
  </si>
  <si>
    <t>ขณะใช้งาน</t>
  </si>
  <si>
    <t>ผิวบน = Pe/A-Pee/Zt+(MG+MS)/Zt+(MD'+ML)/Zt'</t>
  </si>
  <si>
    <t>ผิวล่าง = Pe/A+Pee/Zb-(MG+MS)/Zb-(MD'+ML)/Zb'</t>
  </si>
  <si>
    <t>ผิวบนคอนกรีตหล่อในที่ =nc(MD'+ML)yt/It</t>
  </si>
  <si>
    <t>หน่วยแรงที่ยอมให้ของคอนกรีตหล่อในที่ = 0.45f'ct</t>
  </si>
  <si>
    <t>ป้อนค่าของ Pi ควรจะให้มากกว่าจากสมการ 8.21 เล็กน้อย</t>
  </si>
  <si>
    <t>ตรวจสอบแรงดัดที่รับได้</t>
  </si>
  <si>
    <t>อัตราส่วน Pe/Pu</t>
  </si>
  <si>
    <t>ค่า Pe =RPi</t>
  </si>
  <si>
    <t>อัตราส่วน Pe/Pu ไม่น้อยกว่า 0.5 จึงจะใช้สมการ 4.18 ได้</t>
  </si>
  <si>
    <t>fpu = Pu/Aps</t>
  </si>
  <si>
    <t>fpy/fpu = Py/Pu</t>
  </si>
  <si>
    <t>ถ้า fpy/fpu อยู่ระหว่าง 0.85 แต่ไม่ถึง 0.9 ใช้ rp = 0.4 ถ้า 0.9 ขึ้นไปใช้ 0.28</t>
  </si>
  <si>
    <t>ค่า rp ที่จะแทนในสมการ 4.18 คือ</t>
  </si>
  <si>
    <t xml:space="preserve">คาดว่าส่วนรับแรงอัดอยู่ในแผ่นพื้น จึงถือว่าคานกว้าง be = </t>
  </si>
  <si>
    <t xml:space="preserve">ความลึกประสิทธิผลจริง dp </t>
  </si>
  <si>
    <t>ความลึกประสิทธิผลไม่น้อยกว่า 0.8h</t>
  </si>
  <si>
    <t>ความลึกประสิทธิผลที่ใช้จริง, dp</t>
  </si>
  <si>
    <t>ค่า Beta1 = 0.85 ถ้ากำลังคอนกรีตไม่เกิน 300 ksc ถ้าเกิน จะคำนวณจาก</t>
  </si>
  <si>
    <t>Beta1=0.85-0.0008(f'ct-300)&lt;=0.65 ที่ใช้จริงคือ</t>
  </si>
  <si>
    <t>Rop=Aps/bedp อัตราส่วนเหล็กอัดแรงต่อคอนกรีต</t>
  </si>
  <si>
    <t>w = w' = อัตราส่วนเหล็กเสริมธรรมดา (ไม่มี)</t>
  </si>
  <si>
    <t>ใช้กำลังคอนกรีตของพื้นทับหน้า ,f'ct=</t>
  </si>
  <si>
    <t>กำลังของเหล็กอัดแรงตามสมการ 4.18, fps</t>
  </si>
  <si>
    <t>สูตร fps = fpu(1-(rp/Beta1)(Rop*fpu/f'c+(d/dp)(w-w')))</t>
  </si>
  <si>
    <t>ตำแหน่งแรงอัดตามสูตรของ Whitney, a =Apsfps/(0.85f'ctbe)</t>
  </si>
  <si>
    <t>โปรดตรวจสอบว่าระยะ a น้อยกว่าความหนาพื้น จริงหรือไม่ พื้นหนา</t>
  </si>
  <si>
    <t>ถ้า a น้อยกว่าจริงจึงจะถือว่าค่าต่อๆ ไปจึงจะใช้ได้</t>
  </si>
  <si>
    <t>ตรวจสอบปริมาณเหล็กเสริม ไม่เกิน  0.36Beta1</t>
  </si>
  <si>
    <t>wp = Rop*fps/f'ct</t>
  </si>
  <si>
    <t>ตรวจสอบพบว่า 1 = ใช้ได้ , 2 = ใช้ไม่ได้</t>
  </si>
  <si>
    <t>แรงดัดประลัยของหน้าตัด Mn=Apsfps(dp-a/2)</t>
  </si>
  <si>
    <t>kg.m</t>
  </si>
  <si>
    <t>แรงดัดประลัยที่ใช้ได้จริง Phi.Mn = 0.9Mn</t>
  </si>
  <si>
    <t>Mu=1.4(MG+MS+MD')+1.7ML</t>
  </si>
  <si>
    <t>ถ้า 0.9Mn &gt; Mu แสดงว่าใช้ได้</t>
  </si>
  <si>
    <t>Mp=MG+MS</t>
  </si>
  <si>
    <t>fr=2.0Sqrt(f'c)</t>
  </si>
  <si>
    <t>RPiZb/A</t>
  </si>
  <si>
    <t>frZb</t>
  </si>
  <si>
    <t>RPie-Mp</t>
  </si>
  <si>
    <t>deltaMcr=(1/mb)(RPiZb/A+Rpie-Mp+frZb)</t>
  </si>
  <si>
    <t>Mcr=Mp+deltaMcr</t>
  </si>
  <si>
    <t>1.2Mcr</t>
  </si>
  <si>
    <t>ถ้า 0.9Mn&gt;1.2Mcr แสดงว่าค่ามีความเหนี่ยวพอ</t>
  </si>
  <si>
    <t>ตรวจสอบแรงเฉือนแนวราบที่รอยต่อคอนกรีตอัดแรงกับหล่อในที่</t>
  </si>
  <si>
    <t>เมื่อผิวรอยต่อตั้งใจให้หยาบ</t>
  </si>
  <si>
    <t>wu=1.4wD+1.7wL = 1.4(wG+wS+wD')+1.7wL</t>
  </si>
  <si>
    <t>แรงเฉือนที่จุดรองรับ Vu=wuL/2</t>
  </si>
  <si>
    <t>จากสมการ 8.40 vuh/phi=Vu/phi/bf/dpc</t>
  </si>
  <si>
    <t>เนื่องจากผิวรอยต่อตั้งใจให้หยาบ ค่าที่รับได้คือ vuh = 24.6 ksc ตรวจดูว่า</t>
  </si>
  <si>
    <t>มากกว่าค่าที่เกิดขึ้นจริงหรือไม่ พบว่า 1-รับได้, 2-รับไม่ได้</t>
  </si>
  <si>
    <t>หากรับได้ให้เสริมเหล็กรับแรงเฉือนขั้นต่ำ Avmin=3.5bws/fy เมื่อเลือกใช้</t>
  </si>
  <si>
    <t>DB 12 mm. คิดสองขา มี Avmin = 2.262 ตาราง ซม. ,มีระยะเรียง s =</t>
  </si>
  <si>
    <t>ระยะเรียงไม่เกิน 4 เท่าความหนาพื้น, s=</t>
  </si>
  <si>
    <t>และระยะเรียงไม่เกิน</t>
  </si>
  <si>
    <t>ในกรณีที่จะต้องคำนวณแรงเฉือนความเสียดทานโปรดดูใน sheet (ทำเอง)</t>
  </si>
  <si>
    <t>ตรวจสอบแรงเฉือนในแนวดิ่งของรูปตัดคอมโพสิต</t>
  </si>
  <si>
    <t>m</t>
  </si>
  <si>
    <t>หน้าตัดวิกฤตที่ระยะ dp=0.8h=0.8(คาน+พื้น)=</t>
  </si>
  <si>
    <t>แรงเฉือนประลัย Vu = wu(L/2-dp)=</t>
  </si>
  <si>
    <t>สูตร Vci=0.16Sqrt(f'c)bw.dp+Vd+deltaVi.deltaMcr/deltaMmax</t>
  </si>
  <si>
    <t>ความลึกประสิทธิผล d = 0.8h</t>
  </si>
  <si>
    <t>Vd=(wG+wS)(L/2-dp)</t>
  </si>
  <si>
    <t>deltaVi=(1.4wD'+1.7wL)(L/2-dp)</t>
  </si>
  <si>
    <t>น้ำหนักบรรทุกคงที่เพิ่มเติม, wD'</t>
  </si>
  <si>
    <t>deltaMmax=(1.4wD'+1.7wL)(dp/2)(L-dp)*100</t>
  </si>
  <si>
    <t xml:space="preserve">deltaVi * deltaMcr / deltaMmax=   </t>
  </si>
  <si>
    <t>Vci=0.16Sqrt(f'c)bw.dp+Vd+deltaVi.deltaMcr/deltaMmax</t>
  </si>
  <si>
    <t>สูตร Vcw=(0.93Sqrt(f'c)+0.3fpc)*bw*dp+Vp</t>
  </si>
  <si>
    <t>fpc=RPi/A-RPiey'/I+Mpy'/I</t>
  </si>
  <si>
    <t>RPi/A</t>
  </si>
  <si>
    <t>RPiey'/I</t>
  </si>
  <si>
    <t>Mpy'/I=(MG+MS)y'/I</t>
  </si>
  <si>
    <t>Vp=RPi(dy/dx)=RPi*8e(L/2-dp)/L^2</t>
  </si>
  <si>
    <t>Vcw=(0.93Sqrt(f'c)+0.3fpc)bw*dp+Vp</t>
  </si>
  <si>
    <t>phi*Vc=0.85Vc=</t>
  </si>
  <si>
    <t>เลือกค่าน้อยระหว่าง Vci กับ Vcw เป็น Vc=</t>
  </si>
  <si>
    <t>phi*Vc/2=0.85Vc/2 =</t>
  </si>
  <si>
    <t>ตรวจสอบว่า Vu&lt;phi*Vc/2 หากจริงไม่ต้องเสริมเหล็กรับแรงเฉือน แต่ถ้าจะ</t>
  </si>
  <si>
    <t>เสริมก็ใช้เหล็กขั้นต่ำที่เคยออกแบบไว้แล้วได้  1-ขั้นต่ำ, 2-ต้องคำนวณ</t>
  </si>
  <si>
    <t>ในการคำนวณเหล็กรับแรงเฉือนใช้สูตรดังนี้</t>
  </si>
  <si>
    <t>s = 0.85Av*fy*dp/(Vu-0.85Vc) ใช้ได้เมื่อเป็นบวก (ป DB 12 mm) @</t>
  </si>
  <si>
    <t>A</t>
  </si>
  <si>
    <t>C</t>
  </si>
  <si>
    <t>D</t>
  </si>
  <si>
    <t>B โปรแกรมออกแบบคานคอนกรีตอัดแรงระบบคอมโพสิต</t>
  </si>
  <si>
    <t>Line</t>
  </si>
  <si>
    <t>cm^2</t>
  </si>
  <si>
    <t>cm^4</t>
  </si>
  <si>
    <t>cm^3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</si>
</sst>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0.0"/>
  </numFmts>
  <fonts count="5">
    <font>
      <sz val="14"/>
      <name val="Cordia New"/>
      <family val="0"/>
    </font>
    <font>
      <sz val="16"/>
      <name val="Angsana New"/>
      <family val="1"/>
    </font>
    <font>
      <b/>
      <i/>
      <sz val="16"/>
      <name val="Angsana New"/>
      <family val="1"/>
    </font>
    <font>
      <b/>
      <sz val="16"/>
      <name val="Angsana New"/>
      <family val="1"/>
    </font>
    <font>
      <i/>
      <sz val="16"/>
      <name val="Angsana New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90" fontId="1" fillId="0" borderId="1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77">
      <selection activeCell="D190" sqref="A1:D190"/>
    </sheetView>
  </sheetViews>
  <sheetFormatPr defaultColWidth="9.140625" defaultRowHeight="21.75"/>
  <cols>
    <col min="1" max="1" width="6.140625" style="1" customWidth="1"/>
    <col min="2" max="2" width="56.7109375" style="2" customWidth="1"/>
    <col min="3" max="3" width="9.140625" style="1" customWidth="1"/>
    <col min="4" max="4" width="19.140625" style="2" customWidth="1"/>
    <col min="5" max="16384" width="9.140625" style="2" customWidth="1"/>
  </cols>
  <sheetData>
    <row r="1" spans="1:4" ht="23.25">
      <c r="A1" s="1" t="s">
        <v>196</v>
      </c>
      <c r="B1" s="13" t="s">
        <v>199</v>
      </c>
      <c r="C1" s="1" t="s">
        <v>197</v>
      </c>
      <c r="D1" s="1" t="s">
        <v>198</v>
      </c>
    </row>
    <row r="2" spans="1:4" ht="23.25">
      <c r="A2" s="1" t="s">
        <v>200</v>
      </c>
      <c r="B2" s="14" t="s">
        <v>6</v>
      </c>
      <c r="C2" s="14" t="s">
        <v>7</v>
      </c>
      <c r="D2" s="14" t="s">
        <v>8</v>
      </c>
    </row>
    <row r="3" spans="1:4" ht="23.25">
      <c r="A3" s="1">
        <v>2</v>
      </c>
      <c r="B3" s="4" t="s">
        <v>0</v>
      </c>
      <c r="C3" s="3" t="s">
        <v>1</v>
      </c>
      <c r="D3" s="5">
        <v>25</v>
      </c>
    </row>
    <row r="4" spans="1:4" ht="23.25">
      <c r="A4" s="1">
        <v>3</v>
      </c>
      <c r="B4" s="4" t="s">
        <v>25</v>
      </c>
      <c r="C4" s="3" t="s">
        <v>1</v>
      </c>
      <c r="D4" s="5">
        <v>1.5</v>
      </c>
    </row>
    <row r="5" spans="1:4" ht="23.25">
      <c r="A5" s="1">
        <v>4</v>
      </c>
      <c r="B5" s="4" t="s">
        <v>2</v>
      </c>
      <c r="C5" s="3" t="s">
        <v>1</v>
      </c>
      <c r="D5" s="5">
        <v>0.2</v>
      </c>
    </row>
    <row r="6" spans="1:4" ht="23.25">
      <c r="A6" s="1">
        <v>5</v>
      </c>
      <c r="B6" s="4" t="s">
        <v>56</v>
      </c>
      <c r="C6" s="3" t="s">
        <v>4</v>
      </c>
      <c r="D6" s="4">
        <v>300</v>
      </c>
    </row>
    <row r="7" spans="1:4" ht="23.25">
      <c r="A7" s="1">
        <v>6</v>
      </c>
      <c r="B7" s="4" t="s">
        <v>3</v>
      </c>
      <c r="C7" s="3" t="s">
        <v>4</v>
      </c>
      <c r="D7" s="4">
        <v>400</v>
      </c>
    </row>
    <row r="8" spans="1:4" ht="23.25">
      <c r="A8" s="1">
        <v>7</v>
      </c>
      <c r="B8" s="4" t="s">
        <v>9</v>
      </c>
      <c r="C8" s="3" t="s">
        <v>5</v>
      </c>
      <c r="D8" s="4">
        <v>280</v>
      </c>
    </row>
    <row r="9" spans="1:4" ht="23.25">
      <c r="A9" s="1">
        <v>8</v>
      </c>
      <c r="B9" s="4" t="s">
        <v>10</v>
      </c>
      <c r="C9" s="3" t="s">
        <v>5</v>
      </c>
      <c r="D9" s="4">
        <v>350</v>
      </c>
    </row>
    <row r="10" spans="1:4" ht="23.25">
      <c r="A10" s="1">
        <v>9</v>
      </c>
      <c r="B10" s="4" t="s">
        <v>11</v>
      </c>
      <c r="C10" s="3" t="s">
        <v>5</v>
      </c>
      <c r="D10" s="4">
        <v>240</v>
      </c>
    </row>
    <row r="11" spans="1:4" ht="23.25">
      <c r="A11" s="1">
        <v>10</v>
      </c>
      <c r="B11" s="4" t="s">
        <v>12</v>
      </c>
      <c r="C11" s="3" t="s">
        <v>5</v>
      </c>
      <c r="D11" s="4">
        <v>4000</v>
      </c>
    </row>
    <row r="12" spans="1:4" ht="23.25">
      <c r="A12" s="1">
        <v>11</v>
      </c>
      <c r="B12" s="4" t="s">
        <v>13</v>
      </c>
      <c r="C12" s="3" t="s">
        <v>14</v>
      </c>
      <c r="D12" s="4">
        <v>0.9871</v>
      </c>
    </row>
    <row r="13" spans="1:4" ht="23.25">
      <c r="A13" s="1">
        <v>12</v>
      </c>
      <c r="B13" s="4" t="s">
        <v>17</v>
      </c>
      <c r="C13" s="3" t="s">
        <v>15</v>
      </c>
      <c r="D13" s="4">
        <v>16857</v>
      </c>
    </row>
    <row r="14" spans="1:4" ht="23.25">
      <c r="A14" s="1">
        <v>13</v>
      </c>
      <c r="B14" s="4" t="s">
        <v>16</v>
      </c>
      <c r="C14" s="3" t="s">
        <v>15</v>
      </c>
      <c r="D14" s="4">
        <v>18730</v>
      </c>
    </row>
    <row r="15" spans="1:4" ht="23.25">
      <c r="A15" s="1">
        <v>14</v>
      </c>
      <c r="B15" s="4" t="s">
        <v>19</v>
      </c>
      <c r="C15" s="3" t="s">
        <v>20</v>
      </c>
      <c r="D15" s="4">
        <v>8</v>
      </c>
    </row>
    <row r="16" spans="1:4" ht="23.25">
      <c r="A16" s="1">
        <v>15</v>
      </c>
      <c r="B16" s="4" t="s">
        <v>18</v>
      </c>
      <c r="C16" s="3" t="s">
        <v>20</v>
      </c>
      <c r="D16" s="4">
        <v>24</v>
      </c>
    </row>
    <row r="17" spans="1:4" ht="23.25">
      <c r="A17" s="1">
        <v>16</v>
      </c>
      <c r="B17" s="4" t="s">
        <v>23</v>
      </c>
      <c r="C17" s="3" t="s">
        <v>22</v>
      </c>
      <c r="D17" s="4">
        <v>60</v>
      </c>
    </row>
    <row r="18" spans="1:4" ht="23.25">
      <c r="A18" s="1">
        <v>17</v>
      </c>
      <c r="B18" s="4" t="s">
        <v>21</v>
      </c>
      <c r="C18" s="3" t="s">
        <v>22</v>
      </c>
      <c r="D18" s="4">
        <f>D17+16*D5*100</f>
        <v>380</v>
      </c>
    </row>
    <row r="19" spans="1:5" ht="23.25">
      <c r="A19" s="1">
        <v>18</v>
      </c>
      <c r="B19" s="4" t="s">
        <v>24</v>
      </c>
      <c r="C19" s="3" t="s">
        <v>22</v>
      </c>
      <c r="D19" s="4">
        <f>D4*100</f>
        <v>150</v>
      </c>
      <c r="E19" s="2">
        <f>IF(D18&lt;D19,D18,D19)</f>
        <v>150</v>
      </c>
    </row>
    <row r="20" spans="1:5" ht="23.25">
      <c r="A20" s="1">
        <v>19</v>
      </c>
      <c r="B20" s="4" t="s">
        <v>26</v>
      </c>
      <c r="C20" s="3" t="s">
        <v>22</v>
      </c>
      <c r="D20" s="4">
        <f>D3*100/4</f>
        <v>625</v>
      </c>
      <c r="E20" s="2">
        <f>IF(E19&lt;D20,E19,D20)</f>
        <v>150</v>
      </c>
    </row>
    <row r="21" spans="1:4" ht="23.25">
      <c r="A21" s="1">
        <v>20</v>
      </c>
      <c r="B21" s="6" t="s">
        <v>80</v>
      </c>
      <c r="C21" s="3" t="s">
        <v>22</v>
      </c>
      <c r="D21" s="4">
        <f>E20</f>
        <v>150</v>
      </c>
    </row>
    <row r="22" spans="1:4" ht="23.25">
      <c r="A22" s="1">
        <v>21</v>
      </c>
      <c r="B22" s="4" t="s">
        <v>27</v>
      </c>
      <c r="C22" s="3" t="s">
        <v>22</v>
      </c>
      <c r="D22" s="5">
        <f>D3*100/30</f>
        <v>83.33333333333333</v>
      </c>
    </row>
    <row r="23" spans="1:4" ht="23.25">
      <c r="A23" s="1">
        <v>22</v>
      </c>
      <c r="B23" s="4" t="s">
        <v>28</v>
      </c>
      <c r="C23" s="3" t="s">
        <v>22</v>
      </c>
      <c r="D23" s="4">
        <v>100</v>
      </c>
    </row>
    <row r="24" spans="1:4" ht="23.25">
      <c r="A24" s="1">
        <v>23</v>
      </c>
      <c r="B24" s="7" t="s">
        <v>29</v>
      </c>
      <c r="C24" s="3"/>
      <c r="D24" s="4"/>
    </row>
    <row r="25" spans="1:4" ht="23.25">
      <c r="A25" s="1">
        <v>24</v>
      </c>
      <c r="B25" s="4" t="s">
        <v>30</v>
      </c>
      <c r="C25" s="3" t="s">
        <v>5</v>
      </c>
      <c r="D25" s="4">
        <f>0.6*D8</f>
        <v>168</v>
      </c>
    </row>
    <row r="26" spans="1:4" ht="23.25">
      <c r="A26" s="1">
        <v>25</v>
      </c>
      <c r="B26" s="4" t="s">
        <v>31</v>
      </c>
      <c r="C26" s="3" t="s">
        <v>5</v>
      </c>
      <c r="D26" s="16">
        <f>-0.8*SQRT(D8)</f>
        <v>-13.386560424545209</v>
      </c>
    </row>
    <row r="27" spans="1:4" ht="23.25">
      <c r="A27" s="1">
        <v>26</v>
      </c>
      <c r="B27" s="4" t="s">
        <v>32</v>
      </c>
      <c r="C27" s="3" t="s">
        <v>5</v>
      </c>
      <c r="D27" s="4">
        <f>0.45*D9</f>
        <v>157.5</v>
      </c>
    </row>
    <row r="28" spans="1:4" ht="23.25">
      <c r="A28" s="1">
        <v>27</v>
      </c>
      <c r="B28" s="4" t="s">
        <v>33</v>
      </c>
      <c r="C28" s="3" t="s">
        <v>5</v>
      </c>
      <c r="D28" s="16">
        <f>-1.6*SQRT(D9)</f>
        <v>-29.933259094191534</v>
      </c>
    </row>
    <row r="29" spans="1:4" ht="23.25">
      <c r="A29" s="1">
        <v>28</v>
      </c>
      <c r="B29" s="4" t="s">
        <v>34</v>
      </c>
      <c r="C29" s="3"/>
      <c r="D29" s="15">
        <f>SQRT(D10/D9)</f>
        <v>0.828078671210825</v>
      </c>
    </row>
    <row r="30" spans="1:4" ht="23.25">
      <c r="A30" s="1">
        <v>29</v>
      </c>
      <c r="B30" s="4" t="s">
        <v>35</v>
      </c>
      <c r="C30" s="3" t="s">
        <v>22</v>
      </c>
      <c r="D30" s="5">
        <f>D29*D21</f>
        <v>124.21180068162376</v>
      </c>
    </row>
    <row r="31" spans="1:4" ht="23.25">
      <c r="A31" s="1">
        <v>30</v>
      </c>
      <c r="B31" s="4" t="s">
        <v>36</v>
      </c>
      <c r="C31" s="3" t="s">
        <v>22</v>
      </c>
      <c r="D31" s="16">
        <f>(D30*D5*D5*10000/2+D17*D23*(D5*100+D23/2))/(D30*D5*100+D17*D23)</f>
        <v>52.43163431822875</v>
      </c>
    </row>
    <row r="32" spans="1:4" ht="23.25">
      <c r="A32" s="1">
        <v>31</v>
      </c>
      <c r="B32" s="4" t="s">
        <v>37</v>
      </c>
      <c r="C32" s="3" t="s">
        <v>22</v>
      </c>
      <c r="D32" s="16">
        <f>D23+D5*100-D31</f>
        <v>67.56836568177124</v>
      </c>
    </row>
    <row r="33" spans="1:4" ht="23.25">
      <c r="A33" s="1">
        <v>32</v>
      </c>
      <c r="B33" s="4" t="s">
        <v>38</v>
      </c>
      <c r="C33" s="3" t="s">
        <v>22</v>
      </c>
      <c r="D33" s="16">
        <f>D23-D32</f>
        <v>32.43163431822876</v>
      </c>
    </row>
    <row r="34" spans="1:4" ht="23.25">
      <c r="A34" s="1">
        <v>33</v>
      </c>
      <c r="B34" s="7" t="s">
        <v>39</v>
      </c>
      <c r="C34" s="3"/>
      <c r="D34" s="4"/>
    </row>
    <row r="35" spans="1:4" ht="23.25">
      <c r="A35" s="1">
        <v>34</v>
      </c>
      <c r="B35" s="4" t="s">
        <v>40</v>
      </c>
      <c r="C35" s="3" t="s">
        <v>201</v>
      </c>
      <c r="D35" s="4">
        <f>D17*D23</f>
        <v>6000</v>
      </c>
    </row>
    <row r="36" spans="1:4" ht="23.25">
      <c r="A36" s="1">
        <v>35</v>
      </c>
      <c r="B36" s="4" t="s">
        <v>41</v>
      </c>
      <c r="C36" s="3" t="s">
        <v>202</v>
      </c>
      <c r="D36" s="4">
        <f>D17*D23^3/12</f>
        <v>5000000</v>
      </c>
    </row>
    <row r="37" spans="1:4" ht="23.25">
      <c r="A37" s="1">
        <v>36</v>
      </c>
      <c r="B37" s="4" t="s">
        <v>42</v>
      </c>
      <c r="C37" s="3" t="s">
        <v>22</v>
      </c>
      <c r="D37" s="4">
        <f>D23/2</f>
        <v>50</v>
      </c>
    </row>
    <row r="38" spans="1:4" ht="23.25">
      <c r="A38" s="1">
        <v>37</v>
      </c>
      <c r="B38" s="4" t="s">
        <v>44</v>
      </c>
      <c r="C38" s="3" t="s">
        <v>203</v>
      </c>
      <c r="D38" s="4">
        <f>D36/D37</f>
        <v>100000</v>
      </c>
    </row>
    <row r="39" spans="1:4" ht="23.25">
      <c r="A39" s="1">
        <v>38</v>
      </c>
      <c r="B39" s="7" t="s">
        <v>45</v>
      </c>
      <c r="C39" s="3"/>
      <c r="D39" s="4"/>
    </row>
    <row r="40" spans="1:4" ht="23.25">
      <c r="A40" s="1">
        <v>39</v>
      </c>
      <c r="B40" s="4" t="s">
        <v>46</v>
      </c>
      <c r="C40" s="3" t="s">
        <v>202</v>
      </c>
      <c r="D40" s="4">
        <f>D30/3*(D31^3-D33^3)+D17/3*(D33^3+D32^3)</f>
        <v>11407419.512558732</v>
      </c>
    </row>
    <row r="41" spans="1:4" ht="23.25">
      <c r="A41" s="1">
        <v>40</v>
      </c>
      <c r="B41" s="4" t="s">
        <v>47</v>
      </c>
      <c r="C41" s="3" t="s">
        <v>203</v>
      </c>
      <c r="D41" s="5">
        <f>D40/D33</f>
        <v>351737.4240417787</v>
      </c>
    </row>
    <row r="42" spans="1:4" ht="23.25">
      <c r="A42" s="1">
        <v>41</v>
      </c>
      <c r="B42" s="4" t="s">
        <v>48</v>
      </c>
      <c r="C42" s="3" t="s">
        <v>203</v>
      </c>
      <c r="D42" s="5">
        <f>D40/D32</f>
        <v>168827.81457649276</v>
      </c>
    </row>
    <row r="43" spans="1:4" ht="23.25">
      <c r="A43" s="1">
        <v>42</v>
      </c>
      <c r="B43" s="4" t="s">
        <v>49</v>
      </c>
      <c r="C43" s="3"/>
      <c r="D43" s="15">
        <f>D38/D41</f>
        <v>0.28430298616197913</v>
      </c>
    </row>
    <row r="44" spans="1:4" ht="23.25">
      <c r="A44" s="1">
        <v>43</v>
      </c>
      <c r="B44" s="4" t="s">
        <v>50</v>
      </c>
      <c r="C44" s="3"/>
      <c r="D44" s="15">
        <f>D38/D42</f>
        <v>0.5923194602195828</v>
      </c>
    </row>
    <row r="45" spans="1:4" ht="23.25">
      <c r="A45" s="1">
        <v>44</v>
      </c>
      <c r="B45" s="7" t="s">
        <v>51</v>
      </c>
      <c r="C45" s="3"/>
      <c r="D45" s="4"/>
    </row>
    <row r="46" spans="1:4" ht="23.25">
      <c r="A46" s="1">
        <v>45</v>
      </c>
      <c r="B46" s="4" t="s">
        <v>52</v>
      </c>
      <c r="C46" s="3" t="s">
        <v>53</v>
      </c>
      <c r="D46" s="4">
        <f>2400*D17/100*D23/100</f>
        <v>1440</v>
      </c>
    </row>
    <row r="47" spans="1:4" ht="23.25">
      <c r="A47" s="1">
        <v>46</v>
      </c>
      <c r="B47" s="4" t="s">
        <v>54</v>
      </c>
      <c r="C47" s="3" t="s">
        <v>53</v>
      </c>
      <c r="D47" s="4">
        <f>2400*D4*D5</f>
        <v>720</v>
      </c>
    </row>
    <row r="48" spans="1:4" ht="23.25">
      <c r="A48" s="1">
        <v>47</v>
      </c>
      <c r="B48" s="4" t="s">
        <v>55</v>
      </c>
      <c r="C48" s="3" t="s">
        <v>53</v>
      </c>
      <c r="D48" s="4">
        <f>D7*D4</f>
        <v>600</v>
      </c>
    </row>
    <row r="49" spans="1:4" ht="23.25">
      <c r="A49" s="1">
        <v>48</v>
      </c>
      <c r="B49" s="4" t="s">
        <v>178</v>
      </c>
      <c r="C49" s="3" t="s">
        <v>53</v>
      </c>
      <c r="D49" s="4">
        <f>D6*D4</f>
        <v>450</v>
      </c>
    </row>
    <row r="50" spans="1:4" ht="23.25">
      <c r="A50" s="1">
        <v>49</v>
      </c>
      <c r="B50" s="7" t="s">
        <v>57</v>
      </c>
      <c r="C50" s="3"/>
      <c r="D50" s="4"/>
    </row>
    <row r="51" spans="1:4" ht="23.25">
      <c r="A51" s="1">
        <v>50</v>
      </c>
      <c r="B51" s="4" t="s">
        <v>58</v>
      </c>
      <c r="C51" s="3"/>
      <c r="D51" s="4">
        <f>1-D15/100</f>
        <v>0.92</v>
      </c>
    </row>
    <row r="52" spans="1:4" ht="23.25">
      <c r="A52" s="1">
        <v>51</v>
      </c>
      <c r="B52" s="4" t="s">
        <v>59</v>
      </c>
      <c r="C52" s="3"/>
      <c r="D52" s="4">
        <f>1-D16/100</f>
        <v>0.76</v>
      </c>
    </row>
    <row r="53" spans="1:4" ht="23.25">
      <c r="A53" s="1">
        <v>52</v>
      </c>
      <c r="B53" s="4" t="s">
        <v>60</v>
      </c>
      <c r="C53" s="3"/>
      <c r="D53" s="15">
        <f>D52/D51</f>
        <v>0.8260869565217391</v>
      </c>
    </row>
    <row r="54" spans="1:4" ht="23.25">
      <c r="A54" s="1">
        <v>53</v>
      </c>
      <c r="B54" s="7" t="s">
        <v>61</v>
      </c>
      <c r="C54" s="3"/>
      <c r="D54" s="4"/>
    </row>
    <row r="55" spans="1:4" ht="23.25">
      <c r="A55" s="1">
        <v>54</v>
      </c>
      <c r="B55" s="4" t="s">
        <v>62</v>
      </c>
      <c r="C55" s="3" t="s">
        <v>66</v>
      </c>
      <c r="D55" s="4">
        <f>D46*D3^2/8*100</f>
        <v>11250000</v>
      </c>
    </row>
    <row r="56" spans="1:4" ht="23.25">
      <c r="A56" s="1">
        <v>55</v>
      </c>
      <c r="B56" s="4" t="s">
        <v>63</v>
      </c>
      <c r="C56" s="3" t="s">
        <v>66</v>
      </c>
      <c r="D56" s="4">
        <f>D47*D3^2/8*100</f>
        <v>5625000</v>
      </c>
    </row>
    <row r="57" spans="1:4" ht="23.25">
      <c r="A57" s="1">
        <v>56</v>
      </c>
      <c r="B57" s="4" t="s">
        <v>64</v>
      </c>
      <c r="C57" s="3" t="s">
        <v>66</v>
      </c>
      <c r="D57" s="4">
        <f>D49*D3^2/8*100</f>
        <v>3515625</v>
      </c>
    </row>
    <row r="58" spans="1:4" ht="23.25">
      <c r="A58" s="1">
        <v>57</v>
      </c>
      <c r="B58" s="4" t="s">
        <v>65</v>
      </c>
      <c r="C58" s="3" t="s">
        <v>66</v>
      </c>
      <c r="D58" s="4">
        <f>D48*D3^2/8*100</f>
        <v>4687500</v>
      </c>
    </row>
    <row r="59" spans="1:4" ht="23.25">
      <c r="A59" s="1">
        <v>58</v>
      </c>
      <c r="B59" s="7" t="s">
        <v>67</v>
      </c>
      <c r="C59" s="3"/>
      <c r="D59" s="4"/>
    </row>
    <row r="60" spans="1:4" ht="23.25">
      <c r="A60" s="1">
        <v>59</v>
      </c>
      <c r="B60" s="4" t="s">
        <v>68</v>
      </c>
      <c r="C60" s="3" t="s">
        <v>43</v>
      </c>
      <c r="D60" s="17">
        <f>((1-D53)*D55+D56+D43*(D57+D58))/(D27-D53*D26)</f>
        <v>58814.57684434323</v>
      </c>
    </row>
    <row r="61" spans="1:4" ht="23.25">
      <c r="A61" s="1">
        <v>60</v>
      </c>
      <c r="B61" s="4" t="s">
        <v>71</v>
      </c>
      <c r="C61" s="3" t="s">
        <v>43</v>
      </c>
      <c r="D61" s="17">
        <f>D38-D60</f>
        <v>41185.42315565677</v>
      </c>
    </row>
    <row r="62" spans="1:4" ht="23.25">
      <c r="A62" s="1">
        <v>61</v>
      </c>
      <c r="B62" s="4" t="s">
        <v>69</v>
      </c>
      <c r="C62" s="3" t="s">
        <v>43</v>
      </c>
      <c r="D62" s="17">
        <f>((1-D53)*D55+D56+D44*(D57+D58))/(D53*D25-D28)</f>
        <v>73735.75748512424</v>
      </c>
    </row>
    <row r="63" spans="1:4" ht="23.25">
      <c r="A63" s="1">
        <v>62</v>
      </c>
      <c r="B63" s="4" t="s">
        <v>70</v>
      </c>
      <c r="C63" s="3" t="s">
        <v>43</v>
      </c>
      <c r="D63" s="17">
        <f>D38-D62</f>
        <v>26264.24251487576</v>
      </c>
    </row>
    <row r="64" spans="1:4" ht="23.25">
      <c r="A64" s="1">
        <v>63</v>
      </c>
      <c r="B64" s="7" t="s">
        <v>72</v>
      </c>
      <c r="C64" s="3"/>
      <c r="D64" s="4"/>
    </row>
    <row r="65" spans="1:4" ht="23.25">
      <c r="A65" s="1">
        <v>64</v>
      </c>
      <c r="B65" s="4" t="s">
        <v>73</v>
      </c>
      <c r="C65" s="3"/>
      <c r="D65" s="4">
        <f>D35/D38</f>
        <v>0.06</v>
      </c>
    </row>
    <row r="66" spans="1:4" ht="23.25">
      <c r="A66" s="1">
        <v>65</v>
      </c>
      <c r="B66" s="4" t="s">
        <v>74</v>
      </c>
      <c r="C66" s="3"/>
      <c r="D66" s="4">
        <f>D35*(-D26+D55/D38)</f>
        <v>755319.3625472713</v>
      </c>
    </row>
    <row r="67" spans="1:4" ht="23.25">
      <c r="A67" s="1">
        <v>66</v>
      </c>
      <c r="B67" s="4" t="s">
        <v>75</v>
      </c>
      <c r="C67" s="3"/>
      <c r="D67" s="4">
        <f>D35/D38</f>
        <v>0.06</v>
      </c>
    </row>
    <row r="68" spans="1:4" ht="23.25">
      <c r="A68" s="1">
        <v>67</v>
      </c>
      <c r="B68" s="4" t="s">
        <v>76</v>
      </c>
      <c r="C68" s="3"/>
      <c r="D68" s="4">
        <f>D35*(D25+D55/D38)</f>
        <v>1683000</v>
      </c>
    </row>
    <row r="69" spans="1:4" ht="23.25">
      <c r="A69" s="1">
        <v>68</v>
      </c>
      <c r="B69" s="4" t="s">
        <v>77</v>
      </c>
      <c r="C69" s="3" t="s">
        <v>66</v>
      </c>
      <c r="D69" s="4">
        <f>D55+D56+D43*(D57+D58)</f>
        <v>19207172.933359984</v>
      </c>
    </row>
    <row r="70" spans="1:4" ht="23.25">
      <c r="A70" s="1">
        <v>69</v>
      </c>
      <c r="B70" s="4" t="s">
        <v>78</v>
      </c>
      <c r="C70" s="3"/>
      <c r="D70" s="4">
        <f>D69/D38</f>
        <v>192.07172933359985</v>
      </c>
    </row>
    <row r="71" spans="1:4" ht="23.25">
      <c r="A71" s="1">
        <v>70</v>
      </c>
      <c r="B71" s="4" t="s">
        <v>79</v>
      </c>
      <c r="C71" s="3"/>
      <c r="D71" s="4">
        <f>IF(D70&gt;D27,1,2)</f>
        <v>1</v>
      </c>
    </row>
    <row r="72" spans="1:4" ht="23.25">
      <c r="A72" s="1">
        <v>71</v>
      </c>
      <c r="B72" s="4" t="s">
        <v>81</v>
      </c>
      <c r="C72" s="3"/>
      <c r="D72" s="4">
        <f>D35/D38</f>
        <v>0.06</v>
      </c>
    </row>
    <row r="73" spans="1:4" ht="23.25">
      <c r="A73" s="1">
        <v>72</v>
      </c>
      <c r="B73" s="4" t="s">
        <v>82</v>
      </c>
      <c r="C73" s="3"/>
      <c r="D73" s="4">
        <f>(D35/D53)*(D69/D38-D27)</f>
        <v>251099.928844041</v>
      </c>
    </row>
    <row r="74" spans="1:4" ht="23.25">
      <c r="A74" s="1">
        <v>73</v>
      </c>
      <c r="B74" s="8" t="s">
        <v>83</v>
      </c>
      <c r="C74" s="3"/>
      <c r="D74" s="4"/>
    </row>
    <row r="75" spans="1:4" ht="23.25">
      <c r="A75" s="1">
        <v>74</v>
      </c>
      <c r="B75" s="4" t="s">
        <v>84</v>
      </c>
      <c r="C75" s="3"/>
      <c r="D75" s="4">
        <f>D55+D56+D44*(D57+D58)</f>
        <v>21733870.572113767</v>
      </c>
    </row>
    <row r="76" spans="1:4" ht="23.25">
      <c r="A76" s="1">
        <v>75</v>
      </c>
      <c r="B76" s="4" t="s">
        <v>85</v>
      </c>
      <c r="C76" s="3"/>
      <c r="D76" s="4">
        <f>D35/D38</f>
        <v>0.06</v>
      </c>
    </row>
    <row r="77" spans="1:4" ht="23.25">
      <c r="A77" s="1">
        <v>76</v>
      </c>
      <c r="B77" s="4" t="s">
        <v>86</v>
      </c>
      <c r="C77" s="3"/>
      <c r="D77" s="4">
        <f>(D35/D53)*(D75/D38+D28)</f>
        <v>1361155.3491851876</v>
      </c>
    </row>
    <row r="78" spans="1:4" ht="23.25">
      <c r="A78" s="1">
        <v>77</v>
      </c>
      <c r="B78" s="6" t="s">
        <v>87</v>
      </c>
      <c r="C78" s="3"/>
      <c r="D78" s="4"/>
    </row>
    <row r="79" spans="1:4" ht="23.25">
      <c r="A79" s="1">
        <v>78</v>
      </c>
      <c r="B79" s="4" t="s">
        <v>88</v>
      </c>
      <c r="C79" s="3" t="s">
        <v>22</v>
      </c>
      <c r="D79" s="5">
        <f>(D66+D77)/(D65*D77-D66*D76)</f>
        <v>58.22463390567208</v>
      </c>
    </row>
    <row r="80" spans="1:4" ht="23.25">
      <c r="A80" s="1">
        <v>79</v>
      </c>
      <c r="B80" s="4" t="s">
        <v>89</v>
      </c>
      <c r="C80" s="3" t="s">
        <v>22</v>
      </c>
      <c r="D80" s="5">
        <f>(D73+D77)/(D72*D77-D73*D76)</f>
        <v>24.206828603412493</v>
      </c>
    </row>
    <row r="81" spans="1:4" ht="23.25">
      <c r="A81" s="1">
        <v>80</v>
      </c>
      <c r="B81" s="4" t="s">
        <v>90</v>
      </c>
      <c r="C81" s="3" t="s">
        <v>22</v>
      </c>
      <c r="D81" s="5">
        <f>(D79+D80)/2</f>
        <v>41.215731254542284</v>
      </c>
    </row>
    <row r="82" spans="1:4" ht="23.25">
      <c r="A82" s="1">
        <v>81</v>
      </c>
      <c r="B82" s="6" t="s">
        <v>91</v>
      </c>
      <c r="C82" s="3" t="s">
        <v>22</v>
      </c>
      <c r="D82" s="4">
        <v>41</v>
      </c>
    </row>
    <row r="83" spans="1:4" ht="23.25">
      <c r="A83" s="1">
        <v>82</v>
      </c>
      <c r="B83" s="4" t="s">
        <v>92</v>
      </c>
      <c r="C83" s="3" t="s">
        <v>15</v>
      </c>
      <c r="D83" s="5">
        <f>D77/(D76*D82+1)</f>
        <v>393397.4997645051</v>
      </c>
    </row>
    <row r="84" spans="1:4" ht="23.25">
      <c r="A84" s="1">
        <v>83</v>
      </c>
      <c r="B84" s="4" t="s">
        <v>118</v>
      </c>
      <c r="C84" s="3" t="s">
        <v>15</v>
      </c>
      <c r="D84" s="4">
        <v>394000</v>
      </c>
    </row>
    <row r="85" spans="1:4" ht="23.25">
      <c r="A85" s="1">
        <v>84</v>
      </c>
      <c r="B85" s="4" t="s">
        <v>93</v>
      </c>
      <c r="C85" s="3" t="s">
        <v>15</v>
      </c>
      <c r="D85" s="5">
        <f>D84/D51</f>
        <v>428260.86956521735</v>
      </c>
    </row>
    <row r="86" spans="1:4" ht="23.25">
      <c r="A86" s="1">
        <v>85</v>
      </c>
      <c r="B86" s="4" t="s">
        <v>121</v>
      </c>
      <c r="C86" s="3" t="s">
        <v>15</v>
      </c>
      <c r="D86" s="5">
        <f>D84*D53</f>
        <v>325478.26086956525</v>
      </c>
    </row>
    <row r="87" spans="1:4" ht="23.25">
      <c r="A87" s="1">
        <v>86</v>
      </c>
      <c r="B87" s="7" t="s">
        <v>96</v>
      </c>
      <c r="C87" s="3"/>
      <c r="D87" s="4"/>
    </row>
    <row r="88" spans="1:4" ht="23.25">
      <c r="A88" s="1">
        <v>87</v>
      </c>
      <c r="B88" s="4" t="s">
        <v>94</v>
      </c>
      <c r="C88" s="3" t="s">
        <v>15</v>
      </c>
      <c r="D88" s="4">
        <f>0.94*D13</f>
        <v>15845.58</v>
      </c>
    </row>
    <row r="89" spans="1:4" ht="23.25">
      <c r="A89" s="1">
        <v>88</v>
      </c>
      <c r="B89" s="4" t="s">
        <v>95</v>
      </c>
      <c r="C89" s="3" t="s">
        <v>15</v>
      </c>
      <c r="D89" s="4">
        <f>0.8*D14</f>
        <v>14984</v>
      </c>
    </row>
    <row r="90" spans="1:4" ht="23.25">
      <c r="A90" s="1">
        <v>89</v>
      </c>
      <c r="B90" s="4" t="s">
        <v>97</v>
      </c>
      <c r="C90" s="3" t="s">
        <v>15</v>
      </c>
      <c r="D90" s="4">
        <f>IF(D88&lt;D89,D88,D89)</f>
        <v>14984</v>
      </c>
    </row>
    <row r="91" spans="1:4" ht="23.25">
      <c r="A91" s="1">
        <v>90</v>
      </c>
      <c r="B91" s="4" t="s">
        <v>98</v>
      </c>
      <c r="C91" s="3" t="s">
        <v>99</v>
      </c>
      <c r="D91" s="17">
        <f>D85/D90</f>
        <v>28.581211263028386</v>
      </c>
    </row>
    <row r="92" spans="1:4" ht="23.25">
      <c r="A92" s="1">
        <v>91</v>
      </c>
      <c r="B92" s="6" t="s">
        <v>100</v>
      </c>
      <c r="C92" s="3" t="s">
        <v>99</v>
      </c>
      <c r="D92" s="4">
        <v>30</v>
      </c>
    </row>
    <row r="93" spans="1:4" ht="23.25">
      <c r="A93" s="1">
        <v>92</v>
      </c>
      <c r="B93" s="4" t="s">
        <v>101</v>
      </c>
      <c r="C93" s="3" t="s">
        <v>15</v>
      </c>
      <c r="D93" s="5">
        <f>D85/D92</f>
        <v>14275.362318840578</v>
      </c>
    </row>
    <row r="94" spans="1:4" ht="23.25">
      <c r="A94" s="1">
        <v>93</v>
      </c>
      <c r="B94" s="7" t="s">
        <v>102</v>
      </c>
      <c r="C94" s="3"/>
      <c r="D94" s="4"/>
    </row>
    <row r="95" spans="1:4" ht="23.25">
      <c r="A95" s="1">
        <v>94</v>
      </c>
      <c r="B95" s="6" t="s">
        <v>103</v>
      </c>
      <c r="C95" s="3"/>
      <c r="D95" s="4"/>
    </row>
    <row r="96" spans="1:4" ht="23.25">
      <c r="A96" s="1">
        <v>95</v>
      </c>
      <c r="B96" s="4" t="s">
        <v>104</v>
      </c>
      <c r="C96" s="3" t="s">
        <v>5</v>
      </c>
      <c r="D96" s="16">
        <f>D84/D35-D84*D82/D38+D55/D38</f>
        <v>16.62666666666668</v>
      </c>
    </row>
    <row r="97" spans="1:4" ht="23.25">
      <c r="A97" s="1">
        <v>96</v>
      </c>
      <c r="B97" s="4" t="s">
        <v>105</v>
      </c>
      <c r="C97" s="3" t="s">
        <v>5</v>
      </c>
      <c r="D97" s="16">
        <f>D26</f>
        <v>-13.386560424545209</v>
      </c>
    </row>
    <row r="98" spans="1:4" ht="23.25">
      <c r="A98" s="1">
        <v>97</v>
      </c>
      <c r="B98" s="4" t="s">
        <v>106</v>
      </c>
      <c r="C98" s="3" t="s">
        <v>5</v>
      </c>
      <c r="D98" s="16">
        <f>D84/D35+D84*D82/D38-D55/D38</f>
        <v>114.70666666666665</v>
      </c>
    </row>
    <row r="99" spans="1:4" ht="23.25">
      <c r="A99" s="1">
        <v>98</v>
      </c>
      <c r="B99" s="4" t="s">
        <v>107</v>
      </c>
      <c r="C99" s="3" t="s">
        <v>5</v>
      </c>
      <c r="D99" s="4">
        <f>D25</f>
        <v>168</v>
      </c>
    </row>
    <row r="100" spans="1:4" ht="23.25">
      <c r="A100" s="1">
        <v>99</v>
      </c>
      <c r="B100" s="6" t="s">
        <v>108</v>
      </c>
      <c r="C100" s="3"/>
      <c r="D100" s="4"/>
    </row>
    <row r="101" spans="1:4" ht="23.25">
      <c r="A101" s="1">
        <v>100</v>
      </c>
      <c r="B101" s="4" t="s">
        <v>109</v>
      </c>
      <c r="C101" s="3" t="s">
        <v>5</v>
      </c>
      <c r="D101" s="16">
        <f>D86/D35-D86*D82/D38+(D55+D56)/D38</f>
        <v>89.55028985507246</v>
      </c>
    </row>
    <row r="102" spans="1:4" ht="23.25">
      <c r="A102" s="1">
        <v>101</v>
      </c>
      <c r="B102" s="4" t="s">
        <v>111</v>
      </c>
      <c r="C102" s="3" t="s">
        <v>5</v>
      </c>
      <c r="D102" s="4">
        <f>D27</f>
        <v>157.5</v>
      </c>
    </row>
    <row r="103" spans="1:4" ht="23.25">
      <c r="A103" s="1">
        <v>102</v>
      </c>
      <c r="B103" s="4" t="s">
        <v>110</v>
      </c>
      <c r="C103" s="3" t="s">
        <v>5</v>
      </c>
      <c r="D103" s="16">
        <f>D86/D35+D86*D82/D38-(D55+D56)/D38</f>
        <v>18.94246376811597</v>
      </c>
    </row>
    <row r="104" spans="1:4" ht="23.25">
      <c r="A104" s="1">
        <v>103</v>
      </c>
      <c r="B104" s="4" t="s">
        <v>112</v>
      </c>
      <c r="C104" s="3" t="s">
        <v>5</v>
      </c>
      <c r="D104" s="16">
        <f>D28</f>
        <v>-29.933259094191534</v>
      </c>
    </row>
    <row r="105" spans="1:4" ht="23.25">
      <c r="A105" s="1">
        <v>104</v>
      </c>
      <c r="B105" s="6" t="s">
        <v>113</v>
      </c>
      <c r="C105" s="3"/>
      <c r="D105" s="4"/>
    </row>
    <row r="106" spans="1:4" ht="23.25">
      <c r="A106" s="1">
        <v>105</v>
      </c>
      <c r="B106" s="4" t="s">
        <v>114</v>
      </c>
      <c r="C106" s="3" t="s">
        <v>5</v>
      </c>
      <c r="D106" s="16">
        <f>D101+(D57+D58)/D41</f>
        <v>112.87201918867231</v>
      </c>
    </row>
    <row r="107" spans="1:4" ht="23.25">
      <c r="A107" s="1">
        <v>106</v>
      </c>
      <c r="B107" s="4" t="s">
        <v>111</v>
      </c>
      <c r="C107" s="3" t="s">
        <v>5</v>
      </c>
      <c r="D107" s="4">
        <f>D27</f>
        <v>157.5</v>
      </c>
    </row>
    <row r="108" spans="1:4" ht="23.25">
      <c r="A108" s="1">
        <v>107</v>
      </c>
      <c r="B108" s="4" t="s">
        <v>115</v>
      </c>
      <c r="C108" s="3" t="s">
        <v>5</v>
      </c>
      <c r="D108" s="16">
        <f>D103-(D57+D58)/D42</f>
        <v>-29.64624195302168</v>
      </c>
    </row>
    <row r="109" spans="1:4" ht="23.25">
      <c r="A109" s="1">
        <v>108</v>
      </c>
      <c r="B109" s="4" t="s">
        <v>112</v>
      </c>
      <c r="C109" s="3" t="s">
        <v>5</v>
      </c>
      <c r="D109" s="16">
        <f>D28</f>
        <v>-29.933259094191534</v>
      </c>
    </row>
    <row r="110" spans="1:4" ht="23.25">
      <c r="A110" s="1">
        <v>109</v>
      </c>
      <c r="B110" s="4" t="s">
        <v>116</v>
      </c>
      <c r="C110" s="3" t="s">
        <v>5</v>
      </c>
      <c r="D110" s="16">
        <f>D29*(D57+D58)*D31/D40</f>
        <v>31.221726138169753</v>
      </c>
    </row>
    <row r="111" spans="1:4" ht="23.25">
      <c r="A111" s="1">
        <v>110</v>
      </c>
      <c r="B111" s="4" t="s">
        <v>117</v>
      </c>
      <c r="C111" s="3" t="s">
        <v>5</v>
      </c>
      <c r="D111" s="4">
        <f>0.45*D10</f>
        <v>108</v>
      </c>
    </row>
    <row r="112" spans="1:4" ht="23.25">
      <c r="A112" s="1">
        <v>111</v>
      </c>
      <c r="B112" s="7" t="s">
        <v>119</v>
      </c>
      <c r="C112" s="3"/>
      <c r="D112" s="4"/>
    </row>
    <row r="113" spans="1:4" ht="23.25">
      <c r="A113" s="1">
        <v>112</v>
      </c>
      <c r="B113" s="4" t="s">
        <v>120</v>
      </c>
      <c r="C113" s="3"/>
      <c r="D113" s="16">
        <f>D86/D92/D14</f>
        <v>0.5792458815973754</v>
      </c>
    </row>
    <row r="114" spans="1:4" ht="23.25">
      <c r="A114" s="1">
        <v>113</v>
      </c>
      <c r="B114" s="8" t="s">
        <v>122</v>
      </c>
      <c r="C114" s="3"/>
      <c r="D114" s="4"/>
    </row>
    <row r="115" spans="1:4" ht="23.25">
      <c r="A115" s="1">
        <v>114</v>
      </c>
      <c r="B115" s="4" t="s">
        <v>123</v>
      </c>
      <c r="C115" s="3" t="s">
        <v>5</v>
      </c>
      <c r="D115" s="5">
        <f>D14/D12</f>
        <v>18974.774592239894</v>
      </c>
    </row>
    <row r="116" spans="1:4" ht="23.25">
      <c r="A116" s="1">
        <v>115</v>
      </c>
      <c r="B116" s="4" t="s">
        <v>124</v>
      </c>
      <c r="C116" s="3"/>
      <c r="D116" s="4">
        <f>D13/D14</f>
        <v>0.9</v>
      </c>
    </row>
    <row r="117" spans="1:4" ht="23.25">
      <c r="A117" s="1">
        <v>116</v>
      </c>
      <c r="B117" s="8" t="s">
        <v>125</v>
      </c>
      <c r="C117" s="3"/>
      <c r="D117" s="4"/>
    </row>
    <row r="118" spans="1:4" ht="23.25">
      <c r="A118" s="1">
        <v>117</v>
      </c>
      <c r="B118" s="9" t="s">
        <v>126</v>
      </c>
      <c r="C118" s="3"/>
      <c r="D118" s="4">
        <f>IF(D116&lt;0.9,0.4,0.28)</f>
        <v>0.28</v>
      </c>
    </row>
    <row r="119" spans="1:4" ht="23.25">
      <c r="A119" s="1">
        <v>118</v>
      </c>
      <c r="B119" s="9" t="s">
        <v>127</v>
      </c>
      <c r="C119" s="3" t="s">
        <v>22</v>
      </c>
      <c r="D119" s="4">
        <f>D21</f>
        <v>150</v>
      </c>
    </row>
    <row r="120" spans="1:4" ht="23.25">
      <c r="A120" s="1">
        <v>119</v>
      </c>
      <c r="B120" s="9" t="s">
        <v>128</v>
      </c>
      <c r="C120" s="3" t="s">
        <v>22</v>
      </c>
      <c r="D120" s="4">
        <f>100*D5+D23/2+D82</f>
        <v>111</v>
      </c>
    </row>
    <row r="121" spans="1:4" ht="23.25">
      <c r="A121" s="1">
        <v>120</v>
      </c>
      <c r="B121" s="9" t="s">
        <v>129</v>
      </c>
      <c r="C121" s="3" t="s">
        <v>22</v>
      </c>
      <c r="D121" s="4">
        <f>0.8*(D23+100*D5)</f>
        <v>96</v>
      </c>
    </row>
    <row r="122" spans="1:4" ht="23.25">
      <c r="A122" s="1">
        <v>121</v>
      </c>
      <c r="B122" s="9" t="s">
        <v>130</v>
      </c>
      <c r="C122" s="3" t="s">
        <v>22</v>
      </c>
      <c r="D122" s="4">
        <f>IF(D120&gt;D121,D120,D121)</f>
        <v>111</v>
      </c>
    </row>
    <row r="123" spans="1:4" ht="23.25">
      <c r="A123" s="1">
        <v>122</v>
      </c>
      <c r="B123" s="4" t="s">
        <v>131</v>
      </c>
      <c r="C123" s="3"/>
      <c r="D123" s="4"/>
    </row>
    <row r="124" spans="1:4" ht="23.25">
      <c r="A124" s="1">
        <v>123</v>
      </c>
      <c r="B124" s="4" t="s">
        <v>132</v>
      </c>
      <c r="C124" s="3"/>
      <c r="D124" s="4">
        <f>IF(D10&lt;=300,0.85,0.85-0.0008*(D10-300))</f>
        <v>0.85</v>
      </c>
    </row>
    <row r="125" spans="1:4" ht="23.25">
      <c r="A125" s="1">
        <v>124</v>
      </c>
      <c r="B125" s="4" t="s">
        <v>133</v>
      </c>
      <c r="C125" s="3"/>
      <c r="D125" s="4">
        <f>D92*D12/D119/D122</f>
        <v>0.0017785585585585585</v>
      </c>
    </row>
    <row r="126" spans="1:4" ht="23.25">
      <c r="A126" s="1">
        <v>125</v>
      </c>
      <c r="B126" s="4" t="s">
        <v>134</v>
      </c>
      <c r="C126" s="3"/>
      <c r="D126" s="4">
        <f>0</f>
        <v>0</v>
      </c>
    </row>
    <row r="127" spans="1:4" ht="23.25">
      <c r="A127" s="1">
        <v>126</v>
      </c>
      <c r="B127" s="4" t="s">
        <v>135</v>
      </c>
      <c r="C127" s="3" t="s">
        <v>5</v>
      </c>
      <c r="D127" s="4">
        <f>D10</f>
        <v>240</v>
      </c>
    </row>
    <row r="128" spans="1:4" ht="23.25">
      <c r="A128" s="1">
        <v>127</v>
      </c>
      <c r="B128" s="4" t="s">
        <v>136</v>
      </c>
      <c r="C128" s="3" t="s">
        <v>5</v>
      </c>
      <c r="D128" s="5">
        <f>D115*(1-(D118/D124)*(D125*D115/D127+(0/D122)*(0-0)))</f>
        <v>18095.85472056048</v>
      </c>
    </row>
    <row r="129" spans="1:4" ht="23.25">
      <c r="A129" s="1">
        <v>128</v>
      </c>
      <c r="B129" s="4" t="s">
        <v>137</v>
      </c>
      <c r="C129" s="3"/>
      <c r="D129" s="4"/>
    </row>
    <row r="130" spans="1:4" ht="23.25">
      <c r="A130" s="1">
        <v>129</v>
      </c>
      <c r="B130" s="4" t="s">
        <v>138</v>
      </c>
      <c r="C130" s="3" t="s">
        <v>22</v>
      </c>
      <c r="D130" s="16">
        <f>D92*D12*D128/0.85/D127/D119</f>
        <v>17.512174700652206</v>
      </c>
    </row>
    <row r="131" spans="1:4" ht="23.25">
      <c r="A131" s="1">
        <v>130</v>
      </c>
      <c r="B131" s="8" t="s">
        <v>139</v>
      </c>
      <c r="C131" s="3" t="s">
        <v>22</v>
      </c>
      <c r="D131" s="4">
        <f>100*D5</f>
        <v>20</v>
      </c>
    </row>
    <row r="132" spans="1:4" ht="23.25">
      <c r="A132" s="1">
        <v>131</v>
      </c>
      <c r="B132" s="8" t="s">
        <v>140</v>
      </c>
      <c r="C132" s="3"/>
      <c r="D132" s="4"/>
    </row>
    <row r="133" spans="1:4" ht="23.25">
      <c r="A133" s="1">
        <v>132</v>
      </c>
      <c r="B133" s="4" t="s">
        <v>141</v>
      </c>
      <c r="C133" s="3"/>
      <c r="D133" s="4">
        <f>0.36*D124</f>
        <v>0.306</v>
      </c>
    </row>
    <row r="134" spans="1:4" ht="23.25">
      <c r="A134" s="1">
        <v>133</v>
      </c>
      <c r="B134" s="4" t="s">
        <v>142</v>
      </c>
      <c r="C134" s="3"/>
      <c r="D134" s="4">
        <f>D125*D128/D127</f>
        <v>0.13410223869868806</v>
      </c>
    </row>
    <row r="135" spans="1:4" ht="23.25">
      <c r="A135" s="1">
        <v>134</v>
      </c>
      <c r="B135" s="4" t="s">
        <v>143</v>
      </c>
      <c r="C135" s="3"/>
      <c r="D135" s="4">
        <f>IF(D133&gt;=D134,1,2)</f>
        <v>1</v>
      </c>
    </row>
    <row r="136" spans="1:4" ht="23.25">
      <c r="A136" s="1">
        <v>135</v>
      </c>
      <c r="B136" s="4" t="s">
        <v>144</v>
      </c>
      <c r="C136" s="3" t="s">
        <v>66</v>
      </c>
      <c r="D136" s="4">
        <f>D92*D12*D128*(D122-D130/2)</f>
        <v>54789705.768218994</v>
      </c>
    </row>
    <row r="137" spans="1:4" ht="23.25">
      <c r="A137" s="1">
        <v>136</v>
      </c>
      <c r="B137" s="4" t="s">
        <v>144</v>
      </c>
      <c r="C137" s="3" t="s">
        <v>145</v>
      </c>
      <c r="D137" s="5">
        <f>D136/100</f>
        <v>547897.05768219</v>
      </c>
    </row>
    <row r="138" spans="1:4" ht="23.25">
      <c r="A138" s="1">
        <v>137</v>
      </c>
      <c r="B138" s="4" t="s">
        <v>146</v>
      </c>
      <c r="C138" s="3" t="s">
        <v>66</v>
      </c>
      <c r="D138" s="4">
        <f>0.9*D136</f>
        <v>49310735.19139709</v>
      </c>
    </row>
    <row r="139" spans="1:4" ht="23.25">
      <c r="A139" s="1">
        <v>138</v>
      </c>
      <c r="B139" s="4" t="s">
        <v>147</v>
      </c>
      <c r="C139" s="3" t="s">
        <v>66</v>
      </c>
      <c r="D139" s="4">
        <f>1.4*(D55+D56+D57)+1.7*D58</f>
        <v>36515625</v>
      </c>
    </row>
    <row r="140" spans="1:4" ht="23.25">
      <c r="A140" s="1">
        <v>139</v>
      </c>
      <c r="B140" s="4" t="s">
        <v>148</v>
      </c>
      <c r="C140" s="3"/>
      <c r="D140" s="4"/>
    </row>
    <row r="141" spans="1:4" ht="23.25">
      <c r="A141" s="1">
        <v>140</v>
      </c>
      <c r="B141" s="4" t="s">
        <v>143</v>
      </c>
      <c r="C141" s="3"/>
      <c r="D141" s="4">
        <f>IF(D138&gt;D139,1,2)</f>
        <v>1</v>
      </c>
    </row>
    <row r="142" spans="1:4" ht="23.25">
      <c r="A142" s="1">
        <v>141</v>
      </c>
      <c r="B142" s="4" t="s">
        <v>149</v>
      </c>
      <c r="C142" s="3" t="s">
        <v>66</v>
      </c>
      <c r="D142" s="4">
        <f>D55+D56</f>
        <v>16875000</v>
      </c>
    </row>
    <row r="143" spans="1:4" ht="23.25">
      <c r="A143" s="1">
        <v>142</v>
      </c>
      <c r="B143" s="4" t="s">
        <v>150</v>
      </c>
      <c r="C143" s="3" t="s">
        <v>5</v>
      </c>
      <c r="D143" s="4">
        <f>2*SQRT(D9)</f>
        <v>37.416573867739416</v>
      </c>
    </row>
    <row r="144" spans="1:4" ht="23.25">
      <c r="A144" s="1">
        <v>143</v>
      </c>
      <c r="B144" s="4" t="s">
        <v>151</v>
      </c>
      <c r="C144" s="3"/>
      <c r="D144" s="5">
        <f>D53*D84*D38/D35</f>
        <v>5424637.681159421</v>
      </c>
    </row>
    <row r="145" spans="1:4" ht="23.25">
      <c r="A145" s="1">
        <v>144</v>
      </c>
      <c r="B145" s="4" t="s">
        <v>153</v>
      </c>
      <c r="C145" s="3"/>
      <c r="D145" s="5">
        <f>D53*D84*D82-D142</f>
        <v>-3530391.3043478243</v>
      </c>
    </row>
    <row r="146" spans="1:4" ht="23.25">
      <c r="A146" s="1">
        <v>145</v>
      </c>
      <c r="B146" s="4" t="s">
        <v>152</v>
      </c>
      <c r="C146" s="3"/>
      <c r="D146" s="5">
        <f>D143*D38</f>
        <v>3741657.3867739416</v>
      </c>
    </row>
    <row r="147" spans="1:4" ht="23.25">
      <c r="A147" s="1">
        <v>146</v>
      </c>
      <c r="B147" s="4" t="s">
        <v>154</v>
      </c>
      <c r="C147" s="3" t="s">
        <v>66</v>
      </c>
      <c r="D147" s="5">
        <f>(D144+D145+D146)/D44</f>
        <v>9514973.155695768</v>
      </c>
    </row>
    <row r="148" spans="1:4" ht="23.25">
      <c r="A148" s="1">
        <v>147</v>
      </c>
      <c r="B148" s="4" t="s">
        <v>155</v>
      </c>
      <c r="C148" s="3" t="s">
        <v>66</v>
      </c>
      <c r="D148" s="4">
        <f>D142+D147</f>
        <v>26389973.155695766</v>
      </c>
    </row>
    <row r="149" spans="1:4" ht="23.25">
      <c r="A149" s="1">
        <v>148</v>
      </c>
      <c r="B149" s="9" t="s">
        <v>156</v>
      </c>
      <c r="C149" s="3" t="s">
        <v>66</v>
      </c>
      <c r="D149" s="4">
        <f>1.2*D148</f>
        <v>31667967.786834918</v>
      </c>
    </row>
    <row r="150" spans="1:4" ht="23.25">
      <c r="A150" s="1">
        <v>149</v>
      </c>
      <c r="B150" s="9" t="s">
        <v>157</v>
      </c>
      <c r="C150" s="3"/>
      <c r="D150" s="4"/>
    </row>
    <row r="151" spans="1:4" ht="23.25">
      <c r="A151" s="1">
        <v>150</v>
      </c>
      <c r="B151" s="9" t="s">
        <v>143</v>
      </c>
      <c r="C151" s="3"/>
      <c r="D151" s="4">
        <f>IF(D138&gt;D149,1,2)</f>
        <v>1</v>
      </c>
    </row>
    <row r="152" spans="1:4" ht="23.25">
      <c r="A152" s="1">
        <v>151</v>
      </c>
      <c r="B152" s="10" t="s">
        <v>158</v>
      </c>
      <c r="C152" s="3"/>
      <c r="D152" s="4"/>
    </row>
    <row r="153" spans="1:4" ht="23.25">
      <c r="A153" s="1">
        <v>152</v>
      </c>
      <c r="B153" s="4" t="s">
        <v>159</v>
      </c>
      <c r="C153" s="3"/>
      <c r="D153" s="4"/>
    </row>
    <row r="154" spans="1:4" ht="23.25">
      <c r="A154" s="1">
        <v>153</v>
      </c>
      <c r="B154" s="4" t="s">
        <v>160</v>
      </c>
      <c r="C154" s="3" t="s">
        <v>53</v>
      </c>
      <c r="D154" s="4">
        <f>1.4*(D46+D47+D49)+1.7*D48</f>
        <v>4674</v>
      </c>
    </row>
    <row r="155" spans="1:4" ht="23.25">
      <c r="A155" s="1">
        <v>154</v>
      </c>
      <c r="B155" s="4" t="s">
        <v>161</v>
      </c>
      <c r="C155" s="3" t="s">
        <v>15</v>
      </c>
      <c r="D155" s="4">
        <f>D154*D3/2</f>
        <v>58425</v>
      </c>
    </row>
    <row r="156" spans="1:4" ht="23.25">
      <c r="A156" s="1">
        <v>155</v>
      </c>
      <c r="B156" s="4" t="s">
        <v>162</v>
      </c>
      <c r="C156" s="3" t="s">
        <v>5</v>
      </c>
      <c r="D156" s="16">
        <f>D155/0.85/D17/D122</f>
        <v>10.32061473237944</v>
      </c>
    </row>
    <row r="157" spans="1:4" ht="23.25">
      <c r="A157" s="1">
        <v>156</v>
      </c>
      <c r="B157" s="4" t="s">
        <v>163</v>
      </c>
      <c r="C157" s="3"/>
      <c r="D157" s="4"/>
    </row>
    <row r="158" spans="1:4" ht="23.25">
      <c r="A158" s="1">
        <v>157</v>
      </c>
      <c r="B158" s="4" t="s">
        <v>164</v>
      </c>
      <c r="C158" s="3"/>
      <c r="D158" s="4">
        <f>IF(D156&lt;24.6,1,2)</f>
        <v>1</v>
      </c>
    </row>
    <row r="159" spans="1:4" ht="23.25">
      <c r="A159" s="1">
        <v>158</v>
      </c>
      <c r="B159" s="4" t="s">
        <v>165</v>
      </c>
      <c r="C159" s="3"/>
      <c r="D159" s="4"/>
    </row>
    <row r="160" spans="1:4" ht="23.25">
      <c r="A160" s="1">
        <v>159</v>
      </c>
      <c r="B160" s="4" t="s">
        <v>166</v>
      </c>
      <c r="C160" s="3" t="s">
        <v>22</v>
      </c>
      <c r="D160" s="5">
        <f>D11*2.262/3.5/D17</f>
        <v>43.08571428571429</v>
      </c>
    </row>
    <row r="161" spans="1:4" ht="23.25">
      <c r="A161" s="1">
        <v>160</v>
      </c>
      <c r="B161" s="4" t="s">
        <v>167</v>
      </c>
      <c r="C161" s="3" t="s">
        <v>22</v>
      </c>
      <c r="D161" s="4">
        <f>100*4*D5</f>
        <v>80</v>
      </c>
    </row>
    <row r="162" spans="1:4" ht="23.25">
      <c r="A162" s="1">
        <v>161</v>
      </c>
      <c r="B162" s="4" t="s">
        <v>168</v>
      </c>
      <c r="C162" s="3" t="s">
        <v>22</v>
      </c>
      <c r="D162" s="4">
        <f>60</f>
        <v>60</v>
      </c>
    </row>
    <row r="163" spans="1:4" ht="23.25">
      <c r="A163" s="1">
        <v>162</v>
      </c>
      <c r="B163" s="4" t="s">
        <v>169</v>
      </c>
      <c r="C163" s="3"/>
      <c r="D163" s="4"/>
    </row>
    <row r="164" spans="1:4" ht="23.25">
      <c r="A164" s="1">
        <v>163</v>
      </c>
      <c r="B164" s="7" t="s">
        <v>170</v>
      </c>
      <c r="C164" s="3"/>
      <c r="D164" s="4"/>
    </row>
    <row r="165" spans="1:4" ht="23.25">
      <c r="A165" s="1">
        <v>164</v>
      </c>
      <c r="B165" s="4" t="s">
        <v>172</v>
      </c>
      <c r="C165" s="3" t="s">
        <v>171</v>
      </c>
      <c r="D165" s="4">
        <f>0.8*(D5+D23/100)</f>
        <v>0.96</v>
      </c>
    </row>
    <row r="166" spans="1:4" ht="23.25">
      <c r="A166" s="1">
        <v>165</v>
      </c>
      <c r="B166" s="4" t="s">
        <v>173</v>
      </c>
      <c r="C166" s="3" t="s">
        <v>15</v>
      </c>
      <c r="D166" s="4">
        <f>D154*(D3/2-D165)</f>
        <v>53937.96</v>
      </c>
    </row>
    <row r="167" spans="1:4" ht="23.25">
      <c r="A167" s="1">
        <v>166</v>
      </c>
      <c r="B167" s="7" t="s">
        <v>174</v>
      </c>
      <c r="C167" s="3"/>
      <c r="D167" s="4"/>
    </row>
    <row r="168" spans="1:4" ht="23.25">
      <c r="A168" s="1">
        <v>167</v>
      </c>
      <c r="B168" s="4" t="s">
        <v>23</v>
      </c>
      <c r="C168" s="3" t="s">
        <v>22</v>
      </c>
      <c r="D168" s="4">
        <f>D17</f>
        <v>60</v>
      </c>
    </row>
    <row r="169" spans="1:4" ht="23.25">
      <c r="A169" s="1">
        <v>168</v>
      </c>
      <c r="B169" s="4" t="s">
        <v>175</v>
      </c>
      <c r="C169" s="3" t="s">
        <v>22</v>
      </c>
      <c r="D169" s="4">
        <f>0.8*(D23+100*D5)</f>
        <v>96</v>
      </c>
    </row>
    <row r="170" spans="1:4" ht="23.25">
      <c r="A170" s="1">
        <v>169</v>
      </c>
      <c r="B170" s="4" t="s">
        <v>176</v>
      </c>
      <c r="C170" s="3" t="s">
        <v>15</v>
      </c>
      <c r="D170" s="4">
        <f>(D46+D47)*(D3/2-D165)</f>
        <v>24926.399999999998</v>
      </c>
    </row>
    <row r="171" spans="1:4" ht="23.25">
      <c r="A171" s="1">
        <v>170</v>
      </c>
      <c r="B171" s="4" t="s">
        <v>177</v>
      </c>
      <c r="C171" s="3" t="s">
        <v>15</v>
      </c>
      <c r="D171" s="4">
        <f>(1.4*D49+1.7*D48)*(D3/2-D165)</f>
        <v>19041</v>
      </c>
    </row>
    <row r="172" spans="1:4" ht="23.25">
      <c r="A172" s="1">
        <v>171</v>
      </c>
      <c r="B172" s="4" t="s">
        <v>179</v>
      </c>
      <c r="C172" s="3" t="s">
        <v>66</v>
      </c>
      <c r="D172" s="4">
        <f>100*(1.4*D49+1.7*D48)*(D165/2)*(D3-D165)</f>
        <v>1903968</v>
      </c>
    </row>
    <row r="173" spans="1:4" ht="23.25">
      <c r="A173" s="1">
        <v>172</v>
      </c>
      <c r="B173" s="4" t="s">
        <v>154</v>
      </c>
      <c r="C173" s="3" t="s">
        <v>66</v>
      </c>
      <c r="D173" s="5">
        <f>D147</f>
        <v>9514973.155695768</v>
      </c>
    </row>
    <row r="174" spans="1:4" ht="23.25">
      <c r="A174" s="1">
        <v>173</v>
      </c>
      <c r="B174" s="4" t="s">
        <v>180</v>
      </c>
      <c r="C174" s="3" t="s">
        <v>15</v>
      </c>
      <c r="D174" s="5">
        <f>D171*D173/D172</f>
        <v>95156.32818282823</v>
      </c>
    </row>
    <row r="175" spans="1:4" ht="23.25">
      <c r="A175" s="1">
        <v>174</v>
      </c>
      <c r="B175" s="7" t="s">
        <v>181</v>
      </c>
      <c r="C175" s="3" t="s">
        <v>15</v>
      </c>
      <c r="D175" s="5">
        <f>0.16*SQRT(D9)*D168*D169+D170+D174</f>
        <v>137324.28542108255</v>
      </c>
    </row>
    <row r="176" spans="1:4" ht="23.25">
      <c r="A176" s="1">
        <v>175</v>
      </c>
      <c r="B176" s="7" t="s">
        <v>182</v>
      </c>
      <c r="C176" s="3"/>
      <c r="D176" s="4"/>
    </row>
    <row r="177" spans="1:4" ht="23.25">
      <c r="A177" s="1">
        <v>176</v>
      </c>
      <c r="B177" s="7" t="s">
        <v>183</v>
      </c>
      <c r="C177" s="3"/>
      <c r="D177" s="4"/>
    </row>
    <row r="178" spans="1:4" ht="23.25">
      <c r="A178" s="1">
        <v>177</v>
      </c>
      <c r="B178" s="4" t="s">
        <v>184</v>
      </c>
      <c r="C178" s="3"/>
      <c r="D178" s="16">
        <f>D53*D84/D35</f>
        <v>54.24637681159421</v>
      </c>
    </row>
    <row r="179" spans="1:4" ht="23.25">
      <c r="A179" s="1">
        <v>178</v>
      </c>
      <c r="B179" s="4" t="s">
        <v>185</v>
      </c>
      <c r="C179" s="3"/>
      <c r="D179" s="16">
        <f>D53*D84*D82*(D32-D23/2)/D36</f>
        <v>46.88859308907235</v>
      </c>
    </row>
    <row r="180" spans="1:4" ht="23.25">
      <c r="A180" s="1">
        <v>179</v>
      </c>
      <c r="B180" s="4" t="s">
        <v>186</v>
      </c>
      <c r="C180" s="3"/>
      <c r="D180" s="16">
        <f>(D55+D56)*(D32-D23/2)/D36</f>
        <v>59.293234175977936</v>
      </c>
    </row>
    <row r="181" spans="1:4" ht="23.25">
      <c r="A181" s="1">
        <v>180</v>
      </c>
      <c r="B181" s="4" t="s">
        <v>183</v>
      </c>
      <c r="C181" s="3"/>
      <c r="D181" s="16">
        <f>D178--D179+D180</f>
        <v>160.4282040766445</v>
      </c>
    </row>
    <row r="182" spans="1:4" ht="23.25">
      <c r="A182" s="1">
        <v>181</v>
      </c>
      <c r="B182" s="4" t="s">
        <v>187</v>
      </c>
      <c r="C182" s="3" t="s">
        <v>15</v>
      </c>
      <c r="D182" s="5">
        <f>D53*D84*8*(D82/100)*(D3/2-D165)/D3/D3</f>
        <v>19711.588396521736</v>
      </c>
    </row>
    <row r="183" spans="1:4" ht="23.25">
      <c r="A183" s="1">
        <v>182</v>
      </c>
      <c r="B183" s="7" t="s">
        <v>188</v>
      </c>
      <c r="C183" s="3" t="s">
        <v>15</v>
      </c>
      <c r="D183" s="5">
        <f>(0.93*SQRT(D9)+0.3*D181)*D168*D169+D182</f>
        <v>397148.07648831676</v>
      </c>
    </row>
    <row r="184" spans="1:4" ht="23.25">
      <c r="A184" s="1">
        <v>183</v>
      </c>
      <c r="B184" s="4" t="s">
        <v>190</v>
      </c>
      <c r="C184" s="3" t="s">
        <v>15</v>
      </c>
      <c r="D184" s="5">
        <f>IF(D175&lt;D183,D175,D183)</f>
        <v>137324.28542108255</v>
      </c>
    </row>
    <row r="185" spans="1:4" ht="23.25">
      <c r="A185" s="1">
        <v>184</v>
      </c>
      <c r="B185" s="4" t="s">
        <v>189</v>
      </c>
      <c r="C185" s="3" t="s">
        <v>15</v>
      </c>
      <c r="D185" s="5">
        <f>0.85*D184</f>
        <v>116725.64260792016</v>
      </c>
    </row>
    <row r="186" spans="1:4" ht="23.25">
      <c r="A186" s="1">
        <v>185</v>
      </c>
      <c r="B186" s="4" t="s">
        <v>191</v>
      </c>
      <c r="C186" s="3" t="s">
        <v>15</v>
      </c>
      <c r="D186" s="5">
        <f>D185/2</f>
        <v>58362.82130396008</v>
      </c>
    </row>
    <row r="187" spans="1:4" ht="23.25">
      <c r="A187" s="1">
        <v>186</v>
      </c>
      <c r="B187" s="4" t="s">
        <v>192</v>
      </c>
      <c r="C187" s="3"/>
      <c r="D187" s="4"/>
    </row>
    <row r="188" spans="1:4" ht="23.25">
      <c r="A188" s="1">
        <v>187</v>
      </c>
      <c r="B188" s="4" t="s">
        <v>193</v>
      </c>
      <c r="C188" s="3"/>
      <c r="D188" s="4">
        <f>IF(D166&lt;D186,1,2)</f>
        <v>1</v>
      </c>
    </row>
    <row r="189" spans="1:4" ht="23.25">
      <c r="A189" s="1">
        <v>188</v>
      </c>
      <c r="B189" s="4" t="s">
        <v>194</v>
      </c>
      <c r="C189" s="3"/>
      <c r="D189" s="4"/>
    </row>
    <row r="190" spans="1:4" ht="23.25">
      <c r="A190" s="1">
        <v>189</v>
      </c>
      <c r="B190" s="4" t="s">
        <v>195</v>
      </c>
      <c r="C190" s="3" t="s">
        <v>22</v>
      </c>
      <c r="D190" s="5">
        <f>0.85*2.262*D11*D169/(D166-D185)</f>
        <v>-11.758943304380963</v>
      </c>
    </row>
    <row r="191" spans="2:4" ht="23.25">
      <c r="B191" s="11"/>
      <c r="C191" s="12"/>
      <c r="D191" s="11"/>
    </row>
    <row r="192" spans="2:4" ht="23.25">
      <c r="B192" s="11"/>
      <c r="C192" s="12"/>
      <c r="D192" s="11"/>
    </row>
    <row r="193" spans="2:4" ht="23.25">
      <c r="B193" s="11"/>
      <c r="C193" s="12"/>
      <c r="D193" s="11"/>
    </row>
    <row r="194" spans="2:4" ht="23.25">
      <c r="B194" s="11"/>
      <c r="C194" s="12"/>
      <c r="D194" s="11"/>
    </row>
    <row r="195" spans="2:4" ht="23.25">
      <c r="B195" s="11"/>
      <c r="C195" s="12"/>
      <c r="D195" s="11"/>
    </row>
    <row r="196" spans="2:4" ht="23.25">
      <c r="B196" s="11"/>
      <c r="C196" s="12"/>
      <c r="D196" s="11"/>
    </row>
    <row r="197" spans="2:4" ht="23.25">
      <c r="B197" s="11"/>
      <c r="C197" s="12"/>
      <c r="D197" s="11"/>
    </row>
    <row r="198" spans="2:4" ht="23.25">
      <c r="B198" s="11"/>
      <c r="C198" s="12"/>
      <c r="D198" s="11"/>
    </row>
    <row r="199" spans="2:4" ht="23.25">
      <c r="B199" s="11"/>
      <c r="C199" s="12"/>
      <c r="D199" s="11"/>
    </row>
    <row r="200" spans="2:4" ht="23.25">
      <c r="B200" s="11"/>
      <c r="C200" s="12"/>
      <c r="D200" s="11"/>
    </row>
    <row r="201" spans="2:4" ht="23.25">
      <c r="B201" s="11"/>
      <c r="C201" s="12"/>
      <c r="D20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Senbe</dc:creator>
  <cp:keywords/>
  <dc:description/>
  <cp:lastModifiedBy>iLLuSioN</cp:lastModifiedBy>
  <cp:lastPrinted>2007-03-13T13:55:08Z</cp:lastPrinted>
  <dcterms:created xsi:type="dcterms:W3CDTF">2007-02-09T02:39:59Z</dcterms:created>
  <dcterms:modified xsi:type="dcterms:W3CDTF">2007-03-13T14:44:05Z</dcterms:modified>
  <cp:category/>
  <cp:version/>
  <cp:contentType/>
  <cp:contentStatus/>
</cp:coreProperties>
</file>