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170" windowWidth="10140" windowHeight="5115" tabRatio="594" activeTab="8"/>
  </bookViews>
  <sheets>
    <sheet name="คำนวณ" sheetId="1" r:id="rId1"/>
    <sheet name="ปก" sheetId="2" r:id="rId2"/>
    <sheet name="ข้อกำหนด" sheetId="3" r:id="rId3"/>
    <sheet name="Main" sheetId="4" r:id="rId4"/>
    <sheet name="Main new" sheetId="5" r:id="rId5"/>
    <sheet name="Main จันทัน" sheetId="6" r:id="rId6"/>
    <sheet name="Data Base" sheetId="7" r:id="rId7"/>
    <sheet name="อเส" sheetId="8" r:id="rId8"/>
    <sheet name="ดั้ง" sheetId="9" r:id="rId9"/>
  </sheets>
  <definedNames>
    <definedName name="_xlnm._FilterDatabase" localSheetId="6" hidden="1">'Data Base'!$A$1:$A$35</definedName>
    <definedName name="_xlnm.Print_Area" localSheetId="3">'Main'!$A$1:$W$46</definedName>
    <definedName name="_xlnm.Print_Area" localSheetId="4">'Main new'!$A$1:$W$46</definedName>
    <definedName name="_xlnm.Print_Area" localSheetId="5">'Main จันทัน'!$A$1:$W$36</definedName>
  </definedNames>
  <calcPr fullCalcOnLoad="1"/>
</workbook>
</file>

<file path=xl/comments3.xml><?xml version="1.0" encoding="utf-8"?>
<comments xmlns="http://schemas.openxmlformats.org/spreadsheetml/2006/main">
  <authors>
    <author>OhmInternet</author>
  </authors>
  <commentList>
    <comment ref="F31" authorId="0">
      <text>
        <r>
          <rPr>
            <b/>
            <sz val="8"/>
            <rFont val="Tahoma"/>
            <family val="0"/>
          </rPr>
          <t>ป้อนน้ำหนักจรที่กระทำต่อโครงสร้าง(กก./ตร.ม.)
   -กันสาดหรือหลังคา ค.ส.ล. = 100
   -ที่พักอาศัย,ห้องน้ำ-ส้วม,รร.อนุบาล = 150 
   -อาคารพานิชย์,ห้องแถว,ตึกแถว,หอพัก,โรงแรม,ห้องคนไข้ รพ. = 200 
   -ส่วนของอาคารพานิชย์,ห้องแถว,ตึกแถว  ที่ใช้เพื่อการพานิชย์ = 300
   -สำนักงาน,ธนาคาร= 250
   -วิทยาลัย,โรงเรียน,โรงพยาบาล = 300 
   -ตลาด,ห้างสรรพสินค้า,หอประชุม,ภัตตาคาร,โรงมหรสพ,ที่จอดรถยนต์นั่งส่วนบุคคล = 400
   -คลังสินค้า,รง.อุตสาหกรรม,โรงพิมพ์,ห้องเก็บเอกสารและพัสดุ,อัฒจันทร์,พิพิธภัณฑ์ = 500
   -ที่เก็บหนังสือในหอ-ห้องสมุด= 600
   -ที่จอดรถบรรทุกเปล่า  = 800</t>
        </r>
      </text>
    </comment>
  </commentList>
</comments>
</file>

<file path=xl/sharedStrings.xml><?xml version="1.0" encoding="utf-8"?>
<sst xmlns="http://schemas.openxmlformats.org/spreadsheetml/2006/main" count="819" uniqueCount="259">
  <si>
    <t>:</t>
  </si>
  <si>
    <t xml:space="preserve">STRUCTURE </t>
  </si>
  <si>
    <t xml:space="preserve">ENGINEER  </t>
  </si>
  <si>
    <t xml:space="preserve">PROJECT    </t>
  </si>
  <si>
    <t>ระยะห่างระหว่างแป</t>
  </si>
  <si>
    <t>=</t>
  </si>
  <si>
    <t>m.</t>
  </si>
  <si>
    <t>ช่วงแป</t>
  </si>
  <si>
    <t>kg /m.</t>
  </si>
  <si>
    <t>รวม</t>
  </si>
  <si>
    <t xml:space="preserve">LL </t>
  </si>
  <si>
    <t>W x</t>
  </si>
  <si>
    <t>W y</t>
  </si>
  <si>
    <t>W cos o + Wwinload</t>
  </si>
  <si>
    <t>M x</t>
  </si>
  <si>
    <t>M y</t>
  </si>
  <si>
    <t>kg.m</t>
  </si>
  <si>
    <t>w</t>
  </si>
  <si>
    <t>Ix</t>
  </si>
  <si>
    <t>Sx</t>
  </si>
  <si>
    <t>f bx / F bx</t>
  </si>
  <si>
    <t>f by / F by</t>
  </si>
  <si>
    <t>(Mx/Sx) / Fbx</t>
  </si>
  <si>
    <t>(My/Sy) / Fby</t>
  </si>
  <si>
    <t>+</t>
  </si>
  <si>
    <t>F bx</t>
  </si>
  <si>
    <t>F by</t>
  </si>
  <si>
    <t>0.6* Fy</t>
  </si>
  <si>
    <t>0.75* Fy</t>
  </si>
  <si>
    <r>
      <t>kg /cm</t>
    </r>
    <r>
      <rPr>
        <vertAlign val="superscript"/>
        <sz val="14"/>
        <rFont val="Cordia New"/>
        <family val="2"/>
      </rPr>
      <t>2</t>
    </r>
  </si>
  <si>
    <t>Use  Steel   A 36</t>
  </si>
  <si>
    <t>Fy</t>
  </si>
  <si>
    <t>Fu</t>
  </si>
  <si>
    <t>Sy</t>
  </si>
  <si>
    <t>&lt;</t>
  </si>
  <si>
    <t>Check   Deflection</t>
  </si>
  <si>
    <t>L / 360</t>
  </si>
  <si>
    <t>cm.</t>
  </si>
  <si>
    <t>Allowable</t>
  </si>
  <si>
    <t>SAY</t>
  </si>
  <si>
    <t>E</t>
  </si>
  <si>
    <t>2.04* 10^6</t>
  </si>
  <si>
    <t>Iy</t>
  </si>
  <si>
    <t>LOAD</t>
  </si>
  <si>
    <r>
      <t>kg /m.</t>
    </r>
    <r>
      <rPr>
        <vertAlign val="superscript"/>
        <sz val="14"/>
        <rFont val="Cordia New"/>
        <family val="2"/>
      </rPr>
      <t>2</t>
    </r>
  </si>
  <si>
    <t>Degree</t>
  </si>
  <si>
    <t xml:space="preserve">W sin </t>
  </si>
  <si>
    <t>ในแนวแกน  Y</t>
  </si>
  <si>
    <r>
      <t>1/8*Wy*L</t>
    </r>
    <r>
      <rPr>
        <vertAlign val="superscript"/>
        <sz val="14"/>
        <rFont val="Cordia New"/>
        <family val="2"/>
      </rPr>
      <t>2</t>
    </r>
  </si>
  <si>
    <t>enter</t>
  </si>
  <si>
    <t>Y</t>
  </si>
  <si>
    <t>X</t>
  </si>
  <si>
    <t>Check  Shear</t>
  </si>
  <si>
    <t>Vy</t>
  </si>
  <si>
    <t>kg .</t>
  </si>
  <si>
    <t>Allowable  Shear</t>
  </si>
  <si>
    <t>0.40*Fy</t>
  </si>
  <si>
    <t>แรงเฉือนตามขวาง</t>
  </si>
  <si>
    <t>แรงเฉือนตามยาว</t>
  </si>
  <si>
    <t>V  h</t>
  </si>
  <si>
    <t>V  t</t>
  </si>
  <si>
    <t>V / A</t>
  </si>
  <si>
    <t>V / h*t</t>
  </si>
  <si>
    <t>A</t>
  </si>
  <si>
    <r>
      <t>cm</t>
    </r>
    <r>
      <rPr>
        <vertAlign val="superscript"/>
        <sz val="14"/>
        <rFont val="Cordia New"/>
        <family val="2"/>
      </rPr>
      <t>2</t>
    </r>
  </si>
  <si>
    <t>&lt; 1,008</t>
  </si>
  <si>
    <r>
      <t>1/8*Wx*L</t>
    </r>
    <r>
      <rPr>
        <vertAlign val="superscript"/>
        <sz val="14"/>
        <rFont val="Cordia New"/>
        <family val="2"/>
      </rPr>
      <t>2</t>
    </r>
  </si>
  <si>
    <r>
      <t>kg /cm</t>
    </r>
    <r>
      <rPr>
        <vertAlign val="superscript"/>
        <sz val="14"/>
        <rFont val="Cordia New"/>
        <family val="2"/>
      </rPr>
      <t>2</t>
    </r>
  </si>
  <si>
    <r>
      <t>cm</t>
    </r>
    <r>
      <rPr>
        <vertAlign val="superscript"/>
        <sz val="14"/>
        <rFont val="Cordia New"/>
        <family val="2"/>
      </rPr>
      <t>4</t>
    </r>
  </si>
  <si>
    <r>
      <t>cm</t>
    </r>
    <r>
      <rPr>
        <vertAlign val="superscript"/>
        <sz val="14"/>
        <rFont val="Cordia New"/>
        <family val="2"/>
      </rPr>
      <t>3</t>
    </r>
  </si>
  <si>
    <t>แรงลมตามเทศบัญญัติ  กรุงเทพมหานคร  ความสูง</t>
  </si>
  <si>
    <t>ม.</t>
  </si>
  <si>
    <t>Weigth</t>
  </si>
  <si>
    <t>Paint
 Area</t>
  </si>
  <si>
    <t>C 60 x 30 x 10 x 2.3</t>
  </si>
  <si>
    <t>C 75 x 35 x 15 x 2.3</t>
  </si>
  <si>
    <t>C 75 x 45 x 15 x 2.3</t>
  </si>
  <si>
    <t>C 100 x 50 x 20 x 4.5</t>
  </si>
  <si>
    <t>C 100 x 50 x 20 x 4</t>
  </si>
  <si>
    <t>C 100 x 50 x 20 x 3.2</t>
  </si>
  <si>
    <t>C 100 x 50 x 20 x 2.3</t>
  </si>
  <si>
    <t>C 120 x 40 x 20 x 3.2</t>
  </si>
  <si>
    <t>C 120 x 60 x 20 x 3.2</t>
  </si>
  <si>
    <t>C 120 x 60 x 25 x 4.5</t>
  </si>
  <si>
    <t>C 125 x 50 x 20 x 4.5</t>
  </si>
  <si>
    <t>C 125 x 50 x 20 x 4</t>
  </si>
  <si>
    <t>C 125 x 50 x 20 x 3.2</t>
  </si>
  <si>
    <t>C 150 x 50 x 20 x 4.5</t>
  </si>
  <si>
    <t>C 150 x 50 x 20 x 3.2</t>
  </si>
  <si>
    <t>C 150 x 65 x 20 x 4</t>
  </si>
  <si>
    <t>C 150 x 65 x 20 x 3.2</t>
  </si>
  <si>
    <t>C 150 x 75 x 25 x 4.5</t>
  </si>
  <si>
    <t>C 150 x 75 x 25 x 4</t>
  </si>
  <si>
    <t>C 150 x 75 x 25 x 3.2</t>
  </si>
  <si>
    <t>C 200 x 75 x 20 x 4.5</t>
  </si>
  <si>
    <t>C 200 x 75 x 20 x 4</t>
  </si>
  <si>
    <t>C 200 x 75 x 20 x 3.2</t>
  </si>
  <si>
    <t>C 200 x 75 x 25 x 4.5</t>
  </si>
  <si>
    <t>C 200 x 75 x 25 x 4</t>
  </si>
  <si>
    <t>C 90 x 45 x 20 x 3.2</t>
  </si>
  <si>
    <t>C 90 x 45 x 20 x 2.3</t>
  </si>
  <si>
    <t>h</t>
  </si>
  <si>
    <t>cm</t>
  </si>
  <si>
    <t>t</t>
  </si>
  <si>
    <t>น้ำหนักแป</t>
  </si>
  <si>
    <t>แรงลมตั้งฉากกับหลังคาตามสูตร KETCHUM</t>
  </si>
  <si>
    <t xml:space="preserve">     O</t>
  </si>
  <si>
    <t>น้ำหนักหลังคา</t>
  </si>
  <si>
    <t>ออกแบบแป</t>
  </si>
  <si>
    <t>แป</t>
  </si>
  <si>
    <t>kg/m2</t>
  </si>
  <si>
    <t>B</t>
  </si>
  <si>
    <t>ในแนวแกน  X</t>
  </si>
  <si>
    <t>W</t>
  </si>
  <si>
    <t>&lt; 1</t>
  </si>
  <si>
    <t>Check   Stress</t>
  </si>
  <si>
    <r>
      <t>5 * y * L</t>
    </r>
    <r>
      <rPr>
        <vertAlign val="superscript"/>
        <sz val="14"/>
        <rFont val="Cordia New"/>
        <family val="2"/>
      </rPr>
      <t xml:space="preserve">3 </t>
    </r>
    <r>
      <rPr>
        <sz val="14"/>
        <rFont val="Cordia New"/>
        <family val="2"/>
      </rPr>
      <t>/ (384 * E* Ix  )</t>
    </r>
  </si>
  <si>
    <r>
      <t>5 * wx * L</t>
    </r>
    <r>
      <rPr>
        <vertAlign val="superscript"/>
        <sz val="14"/>
        <rFont val="Cordia New"/>
        <family val="2"/>
      </rPr>
      <t xml:space="preserve">3 </t>
    </r>
    <r>
      <rPr>
        <sz val="14"/>
        <rFont val="Cordia New"/>
        <family val="2"/>
      </rPr>
      <t>/ (384* E* Iy  )</t>
    </r>
  </si>
  <si>
    <t>kg/m</t>
  </si>
  <si>
    <t>ออกแบบจันทัน</t>
  </si>
  <si>
    <t>m</t>
  </si>
  <si>
    <t>น้ำหนักจันทัน</t>
  </si>
  <si>
    <t>C 100 x 50 x 20 x 3.0</t>
  </si>
  <si>
    <t>C 100 x 50 x 20 x 2.0</t>
  </si>
  <si>
    <t>C 120 x 40 x 20 x 3.0</t>
  </si>
  <si>
    <t>C 120 x 60 x 20 x 3.0</t>
  </si>
  <si>
    <t>{}25x25x1.6</t>
  </si>
  <si>
    <r>
      <t>5 * y * L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2"/>
      </rPr>
      <t>/ (384 * E* Ix  )</t>
    </r>
  </si>
  <si>
    <r>
      <t>5 * wx * L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2"/>
      </rPr>
      <t>/ (384* E* Iy  )</t>
    </r>
  </si>
  <si>
    <t>2-C 150 x 65 x 20 x 3.2</t>
  </si>
  <si>
    <t>.........................................</t>
  </si>
  <si>
    <t>(  นายจำเริญ   มงคลมะไฟ )</t>
  </si>
  <si>
    <t>ภ.ย. 41513</t>
  </si>
  <si>
    <t>รายการคำนวณ</t>
  </si>
  <si>
    <t>วันที่</t>
  </si>
  <si>
    <t>ออกแบบ</t>
  </si>
  <si>
    <r>
      <t>kg/m</t>
    </r>
    <r>
      <rPr>
        <vertAlign val="superscript"/>
        <sz val="10"/>
        <rFont val="Arial"/>
        <family val="2"/>
      </rPr>
      <t>2</t>
    </r>
  </si>
  <si>
    <t>h=</t>
  </si>
  <si>
    <t>b=</t>
  </si>
  <si>
    <t>h/b=</t>
  </si>
  <si>
    <t>s=</t>
  </si>
  <si>
    <t>t=</t>
  </si>
  <si>
    <t>ksc</t>
  </si>
  <si>
    <t>kg</t>
  </si>
  <si>
    <t>two way</t>
  </si>
  <si>
    <t>นน.จร</t>
  </si>
  <si>
    <t>m=</t>
  </si>
  <si>
    <t>นน.พื้น</t>
  </si>
  <si>
    <t>พื้น 1</t>
  </si>
  <si>
    <t>Ws=</t>
  </si>
  <si>
    <t>Kg-m</t>
  </si>
  <si>
    <t>พื้น 2</t>
  </si>
  <si>
    <t>นน.ผนัง</t>
  </si>
  <si>
    <t>ผนัง</t>
  </si>
  <si>
    <t>นน.คาน</t>
  </si>
  <si>
    <t>บัว</t>
  </si>
  <si>
    <t>L=</t>
  </si>
  <si>
    <t>S=</t>
  </si>
  <si>
    <t>Wl=</t>
  </si>
  <si>
    <t>one way</t>
  </si>
  <si>
    <t>WL=</t>
  </si>
  <si>
    <t>WS=</t>
  </si>
  <si>
    <t>บันได</t>
  </si>
  <si>
    <t>WD=</t>
  </si>
  <si>
    <t>R=</t>
  </si>
  <si>
    <t>size</t>
  </si>
  <si>
    <r>
      <t>r</t>
    </r>
    <r>
      <rPr>
        <vertAlign val="subscript"/>
        <sz val="14"/>
        <rFont val="Cordia New"/>
        <family val="2"/>
      </rPr>
      <t>min</t>
    </r>
    <r>
      <rPr>
        <sz val="14"/>
        <rFont val="Cordia New"/>
        <family val="0"/>
      </rPr>
      <t>=</t>
    </r>
  </si>
  <si>
    <t>E=</t>
  </si>
  <si>
    <t>Fy=</t>
  </si>
  <si>
    <t>Cc=</t>
  </si>
  <si>
    <t>K=</t>
  </si>
  <si>
    <t>KL/r=</t>
  </si>
  <si>
    <t>(KL/r)/Cc =</t>
  </si>
  <si>
    <t>Fa =</t>
  </si>
  <si>
    <t>cm2</t>
  </si>
  <si>
    <t>Pall =</t>
  </si>
  <si>
    <t>ออกแบบเหล็กรับแรงอัด</t>
  </si>
  <si>
    <t xml:space="preserve">เจ้าของโครงการ </t>
  </si>
  <si>
    <t>( นายจำเริญ   มงคลมะไฟ )</t>
  </si>
  <si>
    <t>ภย.41513</t>
  </si>
  <si>
    <t>โดย........................................................................</t>
  </si>
  <si>
    <t>w=</t>
  </si>
  <si>
    <t>ข้อกำหนดการออกแบบ</t>
  </si>
  <si>
    <t>โครงการ..............................................................</t>
  </si>
  <si>
    <t>เจ้าของ................................................................</t>
  </si>
  <si>
    <t>งานคอนกรีต</t>
  </si>
  <si>
    <t>กำลังอัดประลัยคอนกรีต(fc')=</t>
  </si>
  <si>
    <t>กำลังอัดที่ยอมให้คอนกรีต(fc)=</t>
  </si>
  <si>
    <t>เหล็กรูปพรรณ</t>
  </si>
  <si>
    <t>t&lt;40 mm.</t>
  </si>
  <si>
    <t>แรงดึงที่จุดคลาก(fy)=</t>
  </si>
  <si>
    <t>แรงดึงที่ยอมให้(fs)=</t>
  </si>
  <si>
    <t>t&gt;40 mm.</t>
  </si>
  <si>
    <t>เหล็กเสริมคอนกรีต</t>
  </si>
  <si>
    <t>เหล็กข้ออ้อย</t>
  </si>
  <si>
    <t>เหล็กกลม</t>
  </si>
  <si>
    <t>fy=</t>
  </si>
  <si>
    <t>fs=</t>
  </si>
  <si>
    <t>n=</t>
  </si>
  <si>
    <t>k=</t>
  </si>
  <si>
    <t>j=</t>
  </si>
  <si>
    <t xml:space="preserve">ไม้ : </t>
  </si>
  <si>
    <t>แรงดึงที่ยอมให้=</t>
  </si>
  <si>
    <t>น้ำหนักจร (L.L.)</t>
  </si>
  <si>
    <t>พักอาศัย=</t>
  </si>
  <si>
    <t>หลังคา=</t>
  </si>
  <si>
    <t>พื้นสำเร็จรูป&gt;=</t>
  </si>
  <si>
    <t>น้ำหนักคงที่ (D.L.)</t>
  </si>
  <si>
    <t>น้ำหนักที่กระทำต่อพื้นที่กำแพง</t>
  </si>
  <si>
    <t>ชนิดผนัง</t>
  </si>
  <si>
    <t>ผนังอิฐมอญครึ่งแผ่นฉาบเรียบ</t>
  </si>
  <si>
    <t>ผนังอิฐมอญเต็มแผ่นฉาบเรียบ</t>
  </si>
  <si>
    <t>คอนกรีตบล๊อก   หนา 7 ซม.</t>
  </si>
  <si>
    <t>คอนกรีตบล๊อก   หนา 9 ซม.</t>
  </si>
  <si>
    <t>ฝาไม้อัดรวมเคร่า(12-30)</t>
  </si>
  <si>
    <t>20</t>
  </si>
  <si>
    <t>ฝาเซลดลกรีต รวมเคร่า</t>
  </si>
  <si>
    <t>ดินซีเมนต์ขนาดเท่าอิฐบล๊อก</t>
  </si>
  <si>
    <t>ผนังอิฐบางปลากด ครึ่งแผ่น</t>
  </si>
  <si>
    <t>ผนังอิฐบางปลากด เต็มแผ่น</t>
  </si>
  <si>
    <t>H=</t>
  </si>
  <si>
    <t>A=</t>
  </si>
  <si>
    <t>C=</t>
  </si>
  <si>
    <t>I 1=</t>
  </si>
  <si>
    <t>cm4</t>
  </si>
  <si>
    <t>I 2=</t>
  </si>
  <si>
    <t>I 3=</t>
  </si>
  <si>
    <t>I total=</t>
  </si>
  <si>
    <t>Z=</t>
  </si>
  <si>
    <t>cm3</t>
  </si>
  <si>
    <t>A1=</t>
  </si>
  <si>
    <t>A2=</t>
  </si>
  <si>
    <t>A3=</t>
  </si>
  <si>
    <t>y=</t>
  </si>
  <si>
    <t>ออกแบบ จันทัน</t>
  </si>
  <si>
    <t>case2</t>
  </si>
  <si>
    <t>Distributed load</t>
  </si>
  <si>
    <t>z=</t>
  </si>
  <si>
    <t>l=</t>
  </si>
  <si>
    <r>
      <t>kg/cm</t>
    </r>
    <r>
      <rPr>
        <vertAlign val="superscript"/>
        <sz val="14"/>
        <rFont val="Angsana New"/>
        <family val="1"/>
      </rPr>
      <t>2</t>
    </r>
  </si>
  <si>
    <t>I=</t>
  </si>
  <si>
    <r>
      <t>cm</t>
    </r>
    <r>
      <rPr>
        <vertAlign val="superscript"/>
        <sz val="14"/>
        <rFont val="Angsana New"/>
        <family val="1"/>
      </rPr>
      <t>4</t>
    </r>
  </si>
  <si>
    <t>Zrequired=</t>
  </si>
  <si>
    <r>
      <t>cm</t>
    </r>
    <r>
      <rPr>
        <vertAlign val="superscript"/>
        <sz val="14"/>
        <rFont val="Angsana New"/>
        <family val="1"/>
      </rPr>
      <t>3</t>
    </r>
  </si>
  <si>
    <t>USE:C 100x50x20x3.2 mm @ 1.00  m.</t>
  </si>
  <si>
    <t>ออกแบบ อกไก่</t>
  </si>
  <si>
    <t>USE:2-C 100x50x20x3.2 mm @ 1.00  m.</t>
  </si>
  <si>
    <t>ออกแบบ อเส</t>
  </si>
  <si>
    <t>USE:2-C 150x50x20x3.2 mm</t>
  </si>
  <si>
    <t>USE:2-C 100x50x20x2.3 mm</t>
  </si>
  <si>
    <r>
      <t>r</t>
    </r>
    <r>
      <rPr>
        <vertAlign val="subscript"/>
        <sz val="14"/>
        <rFont val="Cordia New"/>
        <family val="2"/>
      </rPr>
      <t>min</t>
    </r>
    <r>
      <rPr>
        <sz val="14"/>
        <rFont val="Cordia New"/>
        <family val="0"/>
      </rPr>
      <t>=cm</t>
    </r>
  </si>
  <si>
    <t>A=cm2</t>
  </si>
  <si>
    <t>2C-100</t>
  </si>
  <si>
    <t>steel</t>
  </si>
  <si>
    <t>Length=</t>
  </si>
  <si>
    <t>Load=</t>
  </si>
  <si>
    <t>USE:</t>
  </si>
  <si>
    <t>2C-100x50x20x3.2</t>
  </si>
  <si>
    <t xml:space="preserve">อาคาร ค.ส.ล.    ชั้น     คูหา  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</si>
</sst>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.000_-;\-* #,##0.000_-;_-* &quot;-&quot;???_-;_-@_-"/>
    <numFmt numFmtId="194" formatCode="_-* #,##0.0000_-;\-* #,##0.0000_-;_-* &quot;-&quot;??_-;_-@_-"/>
    <numFmt numFmtId="195" formatCode="0.000"/>
    <numFmt numFmtId="196" formatCode="0.0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_-;\-* #,##0_-;_-* &quot;-&quot;??_-;_-@_-"/>
    <numFmt numFmtId="201" formatCode="_-* #,##0.0_-;\-* #,##0.0_-;_-* &quot;-&quot;?_-;_-@_-"/>
    <numFmt numFmtId="202" formatCode="d\-mmm\-yyyy"/>
    <numFmt numFmtId="203" formatCode="#,##0.000"/>
    <numFmt numFmtId="204" formatCode="[$-1070000]d/mm/yyyy;@"/>
    <numFmt numFmtId="205" formatCode="0.0000"/>
    <numFmt numFmtId="206" formatCode="_(* #,##0.0_);_(* \(#,##0.0\);_(* &quot;-&quot;??_);_(@_)"/>
    <numFmt numFmtId="207" formatCode="0.00000"/>
    <numFmt numFmtId="208" formatCode="0.000000"/>
    <numFmt numFmtId="209" formatCode="_(* #,##0_);_(* \(#,##0\);_(* &quot;-&quot;??_);_(@_)"/>
    <numFmt numFmtId="210" formatCode="_(* #,##0.00_);_(* \(#,##0.00\);_(* &quot;-&quot;??_);_(@_)"/>
  </numFmts>
  <fonts count="77">
    <font>
      <sz val="14"/>
      <name val="Cordia New"/>
      <family val="0"/>
    </font>
    <font>
      <vertAlign val="superscript"/>
      <sz val="14"/>
      <name val="Cordia New"/>
      <family val="2"/>
    </font>
    <font>
      <sz val="22"/>
      <name val="Cordia New"/>
      <family val="2"/>
    </font>
    <font>
      <sz val="14"/>
      <color indexed="12"/>
      <name val="Cordia New"/>
      <family val="2"/>
    </font>
    <font>
      <b/>
      <sz val="14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6"/>
      <name val="Cordia New"/>
      <family val="0"/>
    </font>
    <font>
      <b/>
      <sz val="14"/>
      <color indexed="10"/>
      <name val="Cordia New"/>
      <family val="2"/>
    </font>
    <font>
      <sz val="14"/>
      <color indexed="9"/>
      <name val="Cordia New"/>
      <family val="2"/>
    </font>
    <font>
      <sz val="12"/>
      <name val="Cordia New"/>
      <family val="0"/>
    </font>
    <font>
      <sz val="14"/>
      <name val="CityBlueprint"/>
      <family val="0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i/>
      <u val="single"/>
      <sz val="20"/>
      <name val="Cordia New"/>
      <family val="2"/>
    </font>
    <font>
      <vertAlign val="subscript"/>
      <sz val="14"/>
      <name val="Cordia New"/>
      <family val="2"/>
    </font>
    <font>
      <sz val="25"/>
      <name val="Arial"/>
      <family val="0"/>
    </font>
    <font>
      <sz val="18"/>
      <name val="Arial"/>
      <family val="0"/>
    </font>
    <font>
      <sz val="20"/>
      <name val="Arial"/>
      <family val="0"/>
    </font>
    <font>
      <sz val="24"/>
      <name val="Arial"/>
      <family val="2"/>
    </font>
    <font>
      <sz val="14"/>
      <name val="Arial"/>
      <family val="2"/>
    </font>
    <font>
      <b/>
      <u val="single"/>
      <sz val="18"/>
      <name val="Cordia New"/>
      <family val="2"/>
    </font>
    <font>
      <b/>
      <sz val="18"/>
      <name val="Angsana New"/>
      <family val="1"/>
    </font>
    <font>
      <sz val="14"/>
      <name val="Times New Roman"/>
      <family val="1"/>
    </font>
    <font>
      <b/>
      <i/>
      <u val="single"/>
      <sz val="14"/>
      <name val="Cordia New"/>
      <family val="2"/>
    </font>
    <font>
      <b/>
      <sz val="14"/>
      <name val="Times New Roman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vertAlign val="superscript"/>
      <sz val="14"/>
      <name val="Angsana New"/>
      <family val="1"/>
    </font>
    <font>
      <b/>
      <i/>
      <u val="single"/>
      <sz val="14"/>
      <color indexed="10"/>
      <name val="Angsana New"/>
      <family val="1"/>
    </font>
    <font>
      <b/>
      <i/>
      <sz val="14"/>
      <color indexed="10"/>
      <name val="Angsana New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20"/>
      <color indexed="8"/>
      <name val="Angsana New"/>
      <family val="0"/>
    </font>
    <font>
      <sz val="14"/>
      <color indexed="8"/>
      <name val="Cordia New"/>
      <family val="0"/>
    </font>
    <font>
      <b/>
      <sz val="14"/>
      <color indexed="8"/>
      <name val="Times New Roman"/>
      <family val="0"/>
    </font>
    <font>
      <b/>
      <sz val="14"/>
      <color indexed="8"/>
      <name val="Cordia New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b/>
      <sz val="8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quotePrefix="1">
      <alignment horizontal="center"/>
    </xf>
    <xf numFmtId="43" fontId="0" fillId="0" borderId="0" xfId="42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0" fillId="0" borderId="0" xfId="42" applyFont="1" applyBorder="1" applyAlignment="1" quotePrefix="1">
      <alignment/>
    </xf>
    <xf numFmtId="43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92" fontId="0" fillId="0" borderId="0" xfId="42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9" fontId="0" fillId="0" borderId="0" xfId="60" applyFont="1" applyBorder="1" applyAlignment="1">
      <alignment/>
    </xf>
    <xf numFmtId="43" fontId="0" fillId="0" borderId="0" xfId="42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right"/>
    </xf>
    <xf numFmtId="43" fontId="0" fillId="0" borderId="0" xfId="42" applyFont="1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 quotePrefix="1">
      <alignment vertical="center"/>
    </xf>
    <xf numFmtId="43" fontId="0" fillId="0" borderId="15" xfId="0" applyNumberFormat="1" applyFont="1" applyBorder="1" applyAlignment="1">
      <alignment/>
    </xf>
    <xf numFmtId="0" fontId="4" fillId="0" borderId="22" xfId="57" applyFont="1" applyBorder="1" applyAlignment="1">
      <alignment horizontal="center"/>
      <protection/>
    </xf>
    <xf numFmtId="43" fontId="4" fillId="0" borderId="23" xfId="42" applyNumberFormat="1" applyFont="1" applyBorder="1" applyAlignment="1">
      <alignment horizontal="center" wrapText="1"/>
    </xf>
    <xf numFmtId="2" fontId="4" fillId="0" borderId="23" xfId="57" applyNumberFormat="1" applyFont="1" applyBorder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43" fontId="0" fillId="0" borderId="0" xfId="42" applyNumberFormat="1" applyAlignment="1">
      <alignment horizontal="center"/>
    </xf>
    <xf numFmtId="2" fontId="0" fillId="0" borderId="0" xfId="57" applyNumberFormat="1" applyAlignment="1">
      <alignment horizontal="center"/>
      <protection/>
    </xf>
    <xf numFmtId="0" fontId="0" fillId="0" borderId="24" xfId="57" applyBorder="1" applyAlignment="1">
      <alignment horizontal="center"/>
      <protection/>
    </xf>
    <xf numFmtId="191" fontId="10" fillId="0" borderId="0" xfId="42" applyNumberFormat="1" applyFont="1" applyBorder="1" applyAlignment="1">
      <alignment horizontal="center"/>
    </xf>
    <xf numFmtId="43" fontId="0" fillId="0" borderId="0" xfId="42" applyFont="1" applyFill="1" applyBorder="1" applyAlignment="1">
      <alignment/>
    </xf>
    <xf numFmtId="0" fontId="0" fillId="0" borderId="24" xfId="57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92" fontId="0" fillId="0" borderId="0" xfId="42" applyNumberFormat="1" applyFont="1" applyFill="1" applyBorder="1" applyAlignment="1" quotePrefix="1">
      <alignment/>
    </xf>
    <xf numFmtId="0" fontId="0" fillId="0" borderId="15" xfId="0" applyFill="1" applyBorder="1" applyAlignment="1">
      <alignment/>
    </xf>
    <xf numFmtId="0" fontId="11" fillId="0" borderId="0" xfId="0" applyFont="1" applyFill="1" applyBorder="1" applyAlignment="1">
      <alignment/>
    </xf>
    <xf numFmtId="43" fontId="0" fillId="0" borderId="25" xfId="0" applyNumberForma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12" fillId="0" borderId="0" xfId="0" applyFont="1" applyBorder="1" applyAlignment="1">
      <alignment/>
    </xf>
    <xf numFmtId="0" fontId="0" fillId="33" borderId="23" xfId="0" applyFill="1" applyBorder="1" applyAlignment="1">
      <alignment horizontal="center"/>
    </xf>
    <xf numFmtId="43" fontId="0" fillId="33" borderId="23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42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27" xfId="0" applyFont="1" applyBorder="1" applyAlignment="1">
      <alignment horizontal="right"/>
    </xf>
    <xf numFmtId="0" fontId="0" fillId="0" borderId="27" xfId="0" applyFont="1" applyBorder="1" applyAlignment="1" quotePrefix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9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57" applyFont="1" applyAlignment="1">
      <alignment horizontal="center"/>
      <protection/>
    </xf>
    <xf numFmtId="43" fontId="0" fillId="0" borderId="0" xfId="0" applyNumberFormat="1" applyBorder="1" applyAlignment="1">
      <alignment horizontal="center"/>
    </xf>
    <xf numFmtId="43" fontId="0" fillId="0" borderId="0" xfId="42" applyFont="1" applyBorder="1" applyAlignment="1">
      <alignment horizontal="right"/>
    </xf>
    <xf numFmtId="0" fontId="0" fillId="0" borderId="0" xfId="42" applyNumberFormat="1" applyBorder="1" applyAlignment="1">
      <alignment horizontal="right"/>
    </xf>
    <xf numFmtId="43" fontId="0" fillId="0" borderId="0" xfId="42" applyBorder="1" applyAlignment="1">
      <alignment/>
    </xf>
    <xf numFmtId="43" fontId="0" fillId="0" borderId="0" xfId="42" applyFill="1" applyBorder="1" applyAlignment="1">
      <alignment/>
    </xf>
    <xf numFmtId="9" fontId="0" fillId="0" borderId="0" xfId="60" applyFont="1" applyBorder="1" applyAlignment="1">
      <alignment/>
    </xf>
    <xf numFmtId="43" fontId="0" fillId="0" borderId="0" xfId="42" applyBorder="1" applyAlignment="1" quotePrefix="1">
      <alignment/>
    </xf>
    <xf numFmtId="192" fontId="0" fillId="0" borderId="0" xfId="42" applyNumberFormat="1" applyFont="1" applyBorder="1" applyAlignment="1" quotePrefix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192" fontId="0" fillId="0" borderId="0" xfId="42" applyNumberFormat="1" applyFont="1" applyFill="1" applyBorder="1" applyAlignment="1" quotePrefix="1">
      <alignment/>
    </xf>
    <xf numFmtId="43" fontId="0" fillId="0" borderId="23" xfId="0" applyNumberFormat="1" applyFont="1" applyFill="1" applyBorder="1" applyAlignment="1">
      <alignment horizontal="center"/>
    </xf>
    <xf numFmtId="2" fontId="0" fillId="33" borderId="23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43" fontId="0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4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4" borderId="37" xfId="0" applyFill="1" applyBorder="1" applyAlignment="1">
      <alignment/>
    </xf>
    <xf numFmtId="0" fontId="0" fillId="35" borderId="0" xfId="0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15" fillId="0" borderId="0" xfId="0" applyNumberFormat="1" applyFont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39" xfId="0" applyNumberFormat="1" applyBorder="1" applyAlignment="1">
      <alignment/>
    </xf>
    <xf numFmtId="2" fontId="1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43" fontId="16" fillId="0" borderId="0" xfId="42" applyFont="1" applyBorder="1" applyAlignment="1">
      <alignment horizontal="center"/>
    </xf>
    <xf numFmtId="200" fontId="16" fillId="0" borderId="0" xfId="42" applyNumberFormat="1" applyFont="1" applyBorder="1" applyAlignment="1">
      <alignment horizontal="right"/>
    </xf>
    <xf numFmtId="200" fontId="16" fillId="0" borderId="0" xfId="42" applyNumberFormat="1" applyFont="1" applyBorder="1" applyAlignment="1">
      <alignment/>
    </xf>
    <xf numFmtId="200" fontId="16" fillId="0" borderId="0" xfId="42" applyNumberFormat="1" applyFont="1" applyBorder="1" applyAlignment="1">
      <alignment horizontal="left"/>
    </xf>
    <xf numFmtId="200" fontId="16" fillId="0" borderId="0" xfId="42" applyNumberFormat="1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43" fontId="21" fillId="0" borderId="0" xfId="42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2" fontId="0" fillId="0" borderId="0" xfId="0" applyNumberFormat="1" applyAlignment="1">
      <alignment horizontal="center" vertical="center"/>
    </xf>
    <xf numFmtId="2" fontId="25" fillId="0" borderId="0" xfId="0" applyNumberFormat="1" applyFont="1" applyAlignment="1">
      <alignment horizontal="left" vertical="center"/>
    </xf>
    <xf numFmtId="2" fontId="26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2" fontId="0" fillId="0" borderId="24" xfId="57" applyNumberFormat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43" fontId="0" fillId="0" borderId="0" xfId="42" applyNumberFormat="1" applyFill="1" applyAlignment="1">
      <alignment horizontal="center"/>
    </xf>
    <xf numFmtId="2" fontId="0" fillId="0" borderId="0" xfId="57" applyNumberFormat="1" applyFill="1" applyAlignment="1">
      <alignment horizontal="center"/>
      <protection/>
    </xf>
    <xf numFmtId="2" fontId="0" fillId="0" borderId="0" xfId="0" applyNumberFormat="1" applyFill="1" applyAlignment="1">
      <alignment horizontal="center" vertical="center"/>
    </xf>
    <xf numFmtId="0" fontId="0" fillId="0" borderId="0" xfId="57" applyFont="1" applyFill="1" applyAlignment="1">
      <alignment horizontal="center"/>
      <protection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33" borderId="23" xfId="0" applyFont="1" applyFill="1" applyBorder="1" applyAlignment="1">
      <alignment horizontal="center"/>
    </xf>
    <xf numFmtId="209" fontId="30" fillId="33" borderId="23" xfId="42" applyNumberFormat="1" applyFont="1" applyFill="1" applyBorder="1" applyAlignment="1">
      <alignment horizontal="center"/>
    </xf>
    <xf numFmtId="209" fontId="30" fillId="0" borderId="0" xfId="42" applyNumberFormat="1" applyFont="1" applyAlignment="1">
      <alignment horizontal="center"/>
    </xf>
    <xf numFmtId="43" fontId="30" fillId="0" borderId="0" xfId="42" applyFont="1" applyAlignment="1">
      <alignment horizontal="center"/>
    </xf>
    <xf numFmtId="195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205" fontId="30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1" fontId="0" fillId="33" borderId="23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left"/>
    </xf>
    <xf numFmtId="2" fontId="0" fillId="0" borderId="41" xfId="0" applyNumberFormat="1" applyBorder="1" applyAlignment="1">
      <alignment horizontal="center"/>
    </xf>
    <xf numFmtId="195" fontId="0" fillId="0" borderId="0" xfId="0" applyNumberFormat="1" applyAlignment="1">
      <alignment horizontal="center"/>
    </xf>
    <xf numFmtId="196" fontId="0" fillId="0" borderId="23" xfId="0" applyNumberFormat="1" applyBorder="1" applyAlignment="1">
      <alignment horizontal="center"/>
    </xf>
    <xf numFmtId="200" fontId="16" fillId="0" borderId="0" xfId="42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3" fontId="21" fillId="0" borderId="0" xfId="42" applyFont="1" applyBorder="1" applyAlignment="1">
      <alignment horizontal="left"/>
    </xf>
    <xf numFmtId="43" fontId="16" fillId="0" borderId="0" xfId="42" applyFont="1" applyBorder="1" applyAlignment="1">
      <alignment horizontal="center"/>
    </xf>
    <xf numFmtId="43" fontId="20" fillId="0" borderId="0" xfId="42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22" fillId="0" borderId="0" xfId="42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95" fontId="17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95" fontId="16" fillId="0" borderId="0" xfId="0" applyNumberFormat="1" applyFont="1" applyBorder="1" applyAlignment="1">
      <alignment horizontal="center"/>
    </xf>
    <xf numFmtId="195" fontId="16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204" fontId="30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eel Structure Take off Quanti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28575</xdr:rowOff>
    </xdr:from>
    <xdr:to>
      <xdr:col>21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86750" y="676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76200</xdr:rowOff>
    </xdr:from>
    <xdr:to>
      <xdr:col>10</xdr:col>
      <xdr:colOff>200025</xdr:colOff>
      <xdr:row>35</xdr:row>
      <xdr:rowOff>219075</xdr:rowOff>
    </xdr:to>
    <xdr:sp>
      <xdr:nvSpPr>
        <xdr:cNvPr id="2" name="AutoShape 13"/>
        <xdr:cNvSpPr>
          <a:spLocks/>
        </xdr:cNvSpPr>
      </xdr:nvSpPr>
      <xdr:spPr>
        <a:xfrm>
          <a:off x="2495550" y="9791700"/>
          <a:ext cx="1619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38100</xdr:rowOff>
    </xdr:from>
    <xdr:to>
      <xdr:col>10</xdr:col>
      <xdr:colOff>200025</xdr:colOff>
      <xdr:row>36</xdr:row>
      <xdr:rowOff>200025</xdr:rowOff>
    </xdr:to>
    <xdr:sp>
      <xdr:nvSpPr>
        <xdr:cNvPr id="3" name="AutoShape 14"/>
        <xdr:cNvSpPr>
          <a:spLocks/>
        </xdr:cNvSpPr>
      </xdr:nvSpPr>
      <xdr:spPr>
        <a:xfrm>
          <a:off x="2514600" y="100393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142875</xdr:rowOff>
    </xdr:from>
    <xdr:to>
      <xdr:col>9</xdr:col>
      <xdr:colOff>123825</xdr:colOff>
      <xdr:row>19</xdr:row>
      <xdr:rowOff>219075</xdr:rowOff>
    </xdr:to>
    <xdr:sp>
      <xdr:nvSpPr>
        <xdr:cNvPr id="4" name="Oval 16"/>
        <xdr:cNvSpPr>
          <a:spLocks/>
        </xdr:cNvSpPr>
      </xdr:nvSpPr>
      <xdr:spPr>
        <a:xfrm>
          <a:off x="2181225" y="5381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9</xdr:col>
      <xdr:colOff>133350</xdr:colOff>
      <xdr:row>19</xdr:row>
      <xdr:rowOff>228600</xdr:rowOff>
    </xdr:to>
    <xdr:sp>
      <xdr:nvSpPr>
        <xdr:cNvPr id="5" name="Line 17"/>
        <xdr:cNvSpPr>
          <a:spLocks/>
        </xdr:cNvSpPr>
      </xdr:nvSpPr>
      <xdr:spPr>
        <a:xfrm flipV="1">
          <a:off x="2162175" y="53625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285750</xdr:colOff>
      <xdr:row>16</xdr:row>
      <xdr:rowOff>47625</xdr:rowOff>
    </xdr:from>
    <xdr:to>
      <xdr:col>14</xdr:col>
      <xdr:colOff>438150</xdr:colOff>
      <xdr:row>16</xdr:row>
      <xdr:rowOff>200025</xdr:rowOff>
    </xdr:to>
    <xdr:sp>
      <xdr:nvSpPr>
        <xdr:cNvPr id="6" name="Line 18"/>
        <xdr:cNvSpPr>
          <a:spLocks/>
        </xdr:cNvSpPr>
      </xdr:nvSpPr>
      <xdr:spPr>
        <a:xfrm flipV="1">
          <a:off x="4705350" y="43338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114300</xdr:rowOff>
    </xdr:from>
    <xdr:to>
      <xdr:col>9</xdr:col>
      <xdr:colOff>66675</xdr:colOff>
      <xdr:row>20</xdr:row>
      <xdr:rowOff>200025</xdr:rowOff>
    </xdr:to>
    <xdr:sp>
      <xdr:nvSpPr>
        <xdr:cNvPr id="7" name="Line 19"/>
        <xdr:cNvSpPr>
          <a:spLocks/>
        </xdr:cNvSpPr>
      </xdr:nvSpPr>
      <xdr:spPr>
        <a:xfrm flipV="1">
          <a:off x="2133600" y="5638800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276225</xdr:colOff>
      <xdr:row>17</xdr:row>
      <xdr:rowOff>57150</xdr:rowOff>
    </xdr:from>
    <xdr:to>
      <xdr:col>17</xdr:col>
      <xdr:colOff>428625</xdr:colOff>
      <xdr:row>17</xdr:row>
      <xdr:rowOff>209550</xdr:rowOff>
    </xdr:to>
    <xdr:sp>
      <xdr:nvSpPr>
        <xdr:cNvPr id="8" name="Line 21"/>
        <xdr:cNvSpPr>
          <a:spLocks/>
        </xdr:cNvSpPr>
      </xdr:nvSpPr>
      <xdr:spPr>
        <a:xfrm flipV="1">
          <a:off x="6238875" y="46767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161925</xdr:rowOff>
    </xdr:from>
    <xdr:to>
      <xdr:col>18</xdr:col>
      <xdr:colOff>476250</xdr:colOff>
      <xdr:row>7</xdr:row>
      <xdr:rowOff>266700</xdr:rowOff>
    </xdr:to>
    <xdr:sp>
      <xdr:nvSpPr>
        <xdr:cNvPr id="9" name="Line 33"/>
        <xdr:cNvSpPr>
          <a:spLocks/>
        </xdr:cNvSpPr>
      </xdr:nvSpPr>
      <xdr:spPr>
        <a:xfrm flipV="1">
          <a:off x="5467350" y="1343025"/>
          <a:ext cx="1695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266700</xdr:rowOff>
    </xdr:from>
    <xdr:to>
      <xdr:col>18</xdr:col>
      <xdr:colOff>447675</xdr:colOff>
      <xdr:row>7</xdr:row>
      <xdr:rowOff>266700</xdr:rowOff>
    </xdr:to>
    <xdr:sp>
      <xdr:nvSpPr>
        <xdr:cNvPr id="10" name="Line 34"/>
        <xdr:cNvSpPr>
          <a:spLocks/>
        </xdr:cNvSpPr>
      </xdr:nvSpPr>
      <xdr:spPr>
        <a:xfrm>
          <a:off x="5467350" y="20193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400050</xdr:colOff>
      <xdr:row>6</xdr:row>
      <xdr:rowOff>200025</xdr:rowOff>
    </xdr:from>
    <xdr:to>
      <xdr:col>17</xdr:col>
      <xdr:colOff>523875</xdr:colOff>
      <xdr:row>7</xdr:row>
      <xdr:rowOff>266700</xdr:rowOff>
    </xdr:to>
    <xdr:sp>
      <xdr:nvSpPr>
        <xdr:cNvPr id="11" name="Freeform 35"/>
        <xdr:cNvSpPr>
          <a:spLocks/>
        </xdr:cNvSpPr>
      </xdr:nvSpPr>
      <xdr:spPr>
        <a:xfrm>
          <a:off x="6362700" y="1666875"/>
          <a:ext cx="123825" cy="352425"/>
        </a:xfrm>
        <a:custGeom>
          <a:pathLst>
            <a:path h="38" w="13">
              <a:moveTo>
                <a:pt x="0" y="0"/>
              </a:moveTo>
              <a:cubicBezTo>
                <a:pt x="4" y="5"/>
                <a:pt x="9" y="11"/>
                <a:pt x="11" y="17"/>
              </a:cubicBezTo>
              <a:cubicBezTo>
                <a:pt x="13" y="23"/>
                <a:pt x="13" y="35"/>
                <a:pt x="13" y="38"/>
              </a:cubicBezTo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142875</xdr:rowOff>
    </xdr:from>
    <xdr:to>
      <xdr:col>18</xdr:col>
      <xdr:colOff>180975</xdr:colOff>
      <xdr:row>5</xdr:row>
      <xdr:rowOff>257175</xdr:rowOff>
    </xdr:to>
    <xdr:sp>
      <xdr:nvSpPr>
        <xdr:cNvPr id="12" name="Line 36"/>
        <xdr:cNvSpPr>
          <a:spLocks/>
        </xdr:cNvSpPr>
      </xdr:nvSpPr>
      <xdr:spPr>
        <a:xfrm>
          <a:off x="6810375" y="1323975"/>
          <a:ext cx="57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180975</xdr:colOff>
      <xdr:row>5</xdr:row>
      <xdr:rowOff>219075</xdr:rowOff>
    </xdr:from>
    <xdr:to>
      <xdr:col>18</xdr:col>
      <xdr:colOff>257175</xdr:colOff>
      <xdr:row>5</xdr:row>
      <xdr:rowOff>257175</xdr:rowOff>
    </xdr:to>
    <xdr:sp>
      <xdr:nvSpPr>
        <xdr:cNvPr id="13" name="Line 37"/>
        <xdr:cNvSpPr>
          <a:spLocks/>
        </xdr:cNvSpPr>
      </xdr:nvSpPr>
      <xdr:spPr>
        <a:xfrm flipV="1">
          <a:off x="6867525" y="140017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104775</xdr:rowOff>
    </xdr:from>
    <xdr:to>
      <xdr:col>18</xdr:col>
      <xdr:colOff>200025</xdr:colOff>
      <xdr:row>5</xdr:row>
      <xdr:rowOff>142875</xdr:rowOff>
    </xdr:to>
    <xdr:sp>
      <xdr:nvSpPr>
        <xdr:cNvPr id="14" name="Line 38"/>
        <xdr:cNvSpPr>
          <a:spLocks/>
        </xdr:cNvSpPr>
      </xdr:nvSpPr>
      <xdr:spPr>
        <a:xfrm flipV="1">
          <a:off x="6810375" y="128587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</xdr:row>
      <xdr:rowOff>19050</xdr:rowOff>
    </xdr:from>
    <xdr:to>
      <xdr:col>16</xdr:col>
      <xdr:colOff>209550</xdr:colOff>
      <xdr:row>7</xdr:row>
      <xdr:rowOff>57150</xdr:rowOff>
    </xdr:to>
    <xdr:sp>
      <xdr:nvSpPr>
        <xdr:cNvPr id="15" name="Line 39"/>
        <xdr:cNvSpPr>
          <a:spLocks/>
        </xdr:cNvSpPr>
      </xdr:nvSpPr>
      <xdr:spPr>
        <a:xfrm flipV="1">
          <a:off x="5619750" y="1771650"/>
          <a:ext cx="952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57150</xdr:rowOff>
    </xdr:from>
    <xdr:to>
      <xdr:col>16</xdr:col>
      <xdr:colOff>171450</xdr:colOff>
      <xdr:row>7</xdr:row>
      <xdr:rowOff>161925</xdr:rowOff>
    </xdr:to>
    <xdr:sp>
      <xdr:nvSpPr>
        <xdr:cNvPr id="16" name="Line 40"/>
        <xdr:cNvSpPr>
          <a:spLocks/>
        </xdr:cNvSpPr>
      </xdr:nvSpPr>
      <xdr:spPr>
        <a:xfrm>
          <a:off x="5629275" y="1809750"/>
          <a:ext cx="476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171450</xdr:colOff>
      <xdr:row>7</xdr:row>
      <xdr:rowOff>123825</xdr:rowOff>
    </xdr:from>
    <xdr:to>
      <xdr:col>16</xdr:col>
      <xdr:colOff>247650</xdr:colOff>
      <xdr:row>7</xdr:row>
      <xdr:rowOff>161925</xdr:rowOff>
    </xdr:to>
    <xdr:sp>
      <xdr:nvSpPr>
        <xdr:cNvPr id="17" name="Line 41"/>
        <xdr:cNvSpPr>
          <a:spLocks/>
        </xdr:cNvSpPr>
      </xdr:nvSpPr>
      <xdr:spPr>
        <a:xfrm flipV="1">
          <a:off x="5676900" y="187642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95250</xdr:rowOff>
    </xdr:from>
    <xdr:to>
      <xdr:col>16</xdr:col>
      <xdr:colOff>304800</xdr:colOff>
      <xdr:row>8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5553075" y="1562100"/>
          <a:ext cx="25717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66675</xdr:colOff>
      <xdr:row>4</xdr:row>
      <xdr:rowOff>190500</xdr:rowOff>
    </xdr:from>
    <xdr:to>
      <xdr:col>18</xdr:col>
      <xdr:colOff>323850</xdr:colOff>
      <xdr:row>6</xdr:row>
      <xdr:rowOff>209550</xdr:rowOff>
    </xdr:to>
    <xdr:sp>
      <xdr:nvSpPr>
        <xdr:cNvPr id="19" name="Line 43"/>
        <xdr:cNvSpPr>
          <a:spLocks/>
        </xdr:cNvSpPr>
      </xdr:nvSpPr>
      <xdr:spPr>
        <a:xfrm>
          <a:off x="6753225" y="1104900"/>
          <a:ext cx="2571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76200</xdr:colOff>
      <xdr:row>4</xdr:row>
      <xdr:rowOff>238125</xdr:rowOff>
    </xdr:from>
    <xdr:to>
      <xdr:col>18</xdr:col>
      <xdr:colOff>76200</xdr:colOff>
      <xdr:row>6</xdr:row>
      <xdr:rowOff>180975</xdr:rowOff>
    </xdr:to>
    <xdr:sp>
      <xdr:nvSpPr>
        <xdr:cNvPr id="20" name="Line 44"/>
        <xdr:cNvSpPr>
          <a:spLocks/>
        </xdr:cNvSpPr>
      </xdr:nvSpPr>
      <xdr:spPr>
        <a:xfrm flipV="1">
          <a:off x="5581650" y="1152525"/>
          <a:ext cx="11811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238125</xdr:rowOff>
    </xdr:from>
    <xdr:to>
      <xdr:col>18</xdr:col>
      <xdr:colOff>438150</xdr:colOff>
      <xdr:row>8</xdr:row>
      <xdr:rowOff>238125</xdr:rowOff>
    </xdr:to>
    <xdr:sp>
      <xdr:nvSpPr>
        <xdr:cNvPr id="21" name="Line 45"/>
        <xdr:cNvSpPr>
          <a:spLocks/>
        </xdr:cNvSpPr>
      </xdr:nvSpPr>
      <xdr:spPr>
        <a:xfrm>
          <a:off x="5476875" y="227647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190500</xdr:colOff>
      <xdr:row>5</xdr:row>
      <xdr:rowOff>180975</xdr:rowOff>
    </xdr:from>
    <xdr:to>
      <xdr:col>19</xdr:col>
      <xdr:colOff>190500</xdr:colOff>
      <xdr:row>7</xdr:row>
      <xdr:rowOff>238125</xdr:rowOff>
    </xdr:to>
    <xdr:sp>
      <xdr:nvSpPr>
        <xdr:cNvPr id="22" name="Line 46"/>
        <xdr:cNvSpPr>
          <a:spLocks/>
        </xdr:cNvSpPr>
      </xdr:nvSpPr>
      <xdr:spPr>
        <a:xfrm>
          <a:off x="7381875" y="1362075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38100</xdr:rowOff>
    </xdr:from>
    <xdr:to>
      <xdr:col>10</xdr:col>
      <xdr:colOff>200025</xdr:colOff>
      <xdr:row>38</xdr:row>
      <xdr:rowOff>200025</xdr:rowOff>
    </xdr:to>
    <xdr:sp>
      <xdr:nvSpPr>
        <xdr:cNvPr id="23" name="AutoShape 64"/>
        <xdr:cNvSpPr>
          <a:spLocks/>
        </xdr:cNvSpPr>
      </xdr:nvSpPr>
      <xdr:spPr>
        <a:xfrm>
          <a:off x="2514600" y="106108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28575</xdr:rowOff>
    </xdr:from>
    <xdr:to>
      <xdr:col>21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91525" y="676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76200</xdr:rowOff>
    </xdr:from>
    <xdr:to>
      <xdr:col>10</xdr:col>
      <xdr:colOff>200025</xdr:colOff>
      <xdr:row>35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495550" y="9791700"/>
          <a:ext cx="1619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38100</xdr:rowOff>
    </xdr:from>
    <xdr:to>
      <xdr:col>10</xdr:col>
      <xdr:colOff>200025</xdr:colOff>
      <xdr:row>36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514600" y="100393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142875</xdr:rowOff>
    </xdr:from>
    <xdr:to>
      <xdr:col>9</xdr:col>
      <xdr:colOff>123825</xdr:colOff>
      <xdr:row>19</xdr:row>
      <xdr:rowOff>219075</xdr:rowOff>
    </xdr:to>
    <xdr:sp>
      <xdr:nvSpPr>
        <xdr:cNvPr id="4" name="Oval 4"/>
        <xdr:cNvSpPr>
          <a:spLocks/>
        </xdr:cNvSpPr>
      </xdr:nvSpPr>
      <xdr:spPr>
        <a:xfrm>
          <a:off x="2181225" y="5381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9</xdr:col>
      <xdr:colOff>133350</xdr:colOff>
      <xdr:row>19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2162175" y="53625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285750</xdr:colOff>
      <xdr:row>16</xdr:row>
      <xdr:rowOff>47625</xdr:rowOff>
    </xdr:from>
    <xdr:to>
      <xdr:col>14</xdr:col>
      <xdr:colOff>438150</xdr:colOff>
      <xdr:row>16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4705350" y="43338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114300</xdr:rowOff>
    </xdr:from>
    <xdr:to>
      <xdr:col>9</xdr:col>
      <xdr:colOff>66675</xdr:colOff>
      <xdr:row>20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2133600" y="5638800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276225</xdr:colOff>
      <xdr:row>17</xdr:row>
      <xdr:rowOff>57150</xdr:rowOff>
    </xdr:from>
    <xdr:to>
      <xdr:col>17</xdr:col>
      <xdr:colOff>428625</xdr:colOff>
      <xdr:row>17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6343650" y="46767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161925</xdr:rowOff>
    </xdr:from>
    <xdr:to>
      <xdr:col>18</xdr:col>
      <xdr:colOff>476250</xdr:colOff>
      <xdr:row>7</xdr:row>
      <xdr:rowOff>266700</xdr:rowOff>
    </xdr:to>
    <xdr:sp>
      <xdr:nvSpPr>
        <xdr:cNvPr id="9" name="Line 10"/>
        <xdr:cNvSpPr>
          <a:spLocks/>
        </xdr:cNvSpPr>
      </xdr:nvSpPr>
      <xdr:spPr>
        <a:xfrm flipV="1">
          <a:off x="5572125" y="1343025"/>
          <a:ext cx="1695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266700</xdr:rowOff>
    </xdr:from>
    <xdr:to>
      <xdr:col>18</xdr:col>
      <xdr:colOff>447675</xdr:colOff>
      <xdr:row>7</xdr:row>
      <xdr:rowOff>266700</xdr:rowOff>
    </xdr:to>
    <xdr:sp>
      <xdr:nvSpPr>
        <xdr:cNvPr id="10" name="Line 11"/>
        <xdr:cNvSpPr>
          <a:spLocks/>
        </xdr:cNvSpPr>
      </xdr:nvSpPr>
      <xdr:spPr>
        <a:xfrm>
          <a:off x="5572125" y="20193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400050</xdr:colOff>
      <xdr:row>6</xdr:row>
      <xdr:rowOff>200025</xdr:rowOff>
    </xdr:from>
    <xdr:to>
      <xdr:col>17</xdr:col>
      <xdr:colOff>523875</xdr:colOff>
      <xdr:row>7</xdr:row>
      <xdr:rowOff>266700</xdr:rowOff>
    </xdr:to>
    <xdr:sp>
      <xdr:nvSpPr>
        <xdr:cNvPr id="11" name="Freeform 12"/>
        <xdr:cNvSpPr>
          <a:spLocks/>
        </xdr:cNvSpPr>
      </xdr:nvSpPr>
      <xdr:spPr>
        <a:xfrm>
          <a:off x="6467475" y="1666875"/>
          <a:ext cx="123825" cy="352425"/>
        </a:xfrm>
        <a:custGeom>
          <a:pathLst>
            <a:path h="38" w="13">
              <a:moveTo>
                <a:pt x="0" y="0"/>
              </a:moveTo>
              <a:cubicBezTo>
                <a:pt x="4" y="5"/>
                <a:pt x="9" y="11"/>
                <a:pt x="11" y="17"/>
              </a:cubicBezTo>
              <a:cubicBezTo>
                <a:pt x="13" y="23"/>
                <a:pt x="13" y="35"/>
                <a:pt x="13" y="38"/>
              </a:cubicBezTo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142875</xdr:rowOff>
    </xdr:from>
    <xdr:to>
      <xdr:col>18</xdr:col>
      <xdr:colOff>180975</xdr:colOff>
      <xdr:row>5</xdr:row>
      <xdr:rowOff>257175</xdr:rowOff>
    </xdr:to>
    <xdr:sp>
      <xdr:nvSpPr>
        <xdr:cNvPr id="12" name="Line 13"/>
        <xdr:cNvSpPr>
          <a:spLocks/>
        </xdr:cNvSpPr>
      </xdr:nvSpPr>
      <xdr:spPr>
        <a:xfrm>
          <a:off x="6915150" y="1323975"/>
          <a:ext cx="57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180975</xdr:colOff>
      <xdr:row>5</xdr:row>
      <xdr:rowOff>219075</xdr:rowOff>
    </xdr:from>
    <xdr:to>
      <xdr:col>18</xdr:col>
      <xdr:colOff>257175</xdr:colOff>
      <xdr:row>5</xdr:row>
      <xdr:rowOff>257175</xdr:rowOff>
    </xdr:to>
    <xdr:sp>
      <xdr:nvSpPr>
        <xdr:cNvPr id="13" name="Line 14"/>
        <xdr:cNvSpPr>
          <a:spLocks/>
        </xdr:cNvSpPr>
      </xdr:nvSpPr>
      <xdr:spPr>
        <a:xfrm flipV="1">
          <a:off x="6972300" y="140017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104775</xdr:rowOff>
    </xdr:from>
    <xdr:to>
      <xdr:col>18</xdr:col>
      <xdr:colOff>200025</xdr:colOff>
      <xdr:row>5</xdr:row>
      <xdr:rowOff>142875</xdr:rowOff>
    </xdr:to>
    <xdr:sp>
      <xdr:nvSpPr>
        <xdr:cNvPr id="14" name="Line 15"/>
        <xdr:cNvSpPr>
          <a:spLocks/>
        </xdr:cNvSpPr>
      </xdr:nvSpPr>
      <xdr:spPr>
        <a:xfrm flipV="1">
          <a:off x="6915150" y="128587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</xdr:row>
      <xdr:rowOff>19050</xdr:rowOff>
    </xdr:from>
    <xdr:to>
      <xdr:col>16</xdr:col>
      <xdr:colOff>209550</xdr:colOff>
      <xdr:row>7</xdr:row>
      <xdr:rowOff>57150</xdr:rowOff>
    </xdr:to>
    <xdr:sp>
      <xdr:nvSpPr>
        <xdr:cNvPr id="15" name="Line 16"/>
        <xdr:cNvSpPr>
          <a:spLocks/>
        </xdr:cNvSpPr>
      </xdr:nvSpPr>
      <xdr:spPr>
        <a:xfrm flipV="1">
          <a:off x="5724525" y="1771650"/>
          <a:ext cx="952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57150</xdr:rowOff>
    </xdr:from>
    <xdr:to>
      <xdr:col>16</xdr:col>
      <xdr:colOff>171450</xdr:colOff>
      <xdr:row>7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5734050" y="1809750"/>
          <a:ext cx="476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171450</xdr:colOff>
      <xdr:row>7</xdr:row>
      <xdr:rowOff>123825</xdr:rowOff>
    </xdr:from>
    <xdr:to>
      <xdr:col>16</xdr:col>
      <xdr:colOff>247650</xdr:colOff>
      <xdr:row>7</xdr:row>
      <xdr:rowOff>161925</xdr:rowOff>
    </xdr:to>
    <xdr:sp>
      <xdr:nvSpPr>
        <xdr:cNvPr id="17" name="Line 18"/>
        <xdr:cNvSpPr>
          <a:spLocks/>
        </xdr:cNvSpPr>
      </xdr:nvSpPr>
      <xdr:spPr>
        <a:xfrm flipV="1">
          <a:off x="5781675" y="1876425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95250</xdr:rowOff>
    </xdr:from>
    <xdr:to>
      <xdr:col>16</xdr:col>
      <xdr:colOff>304800</xdr:colOff>
      <xdr:row>8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5657850" y="1562100"/>
          <a:ext cx="25717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66675</xdr:colOff>
      <xdr:row>4</xdr:row>
      <xdr:rowOff>190500</xdr:rowOff>
    </xdr:from>
    <xdr:to>
      <xdr:col>18</xdr:col>
      <xdr:colOff>323850</xdr:colOff>
      <xdr:row>6</xdr:row>
      <xdr:rowOff>209550</xdr:rowOff>
    </xdr:to>
    <xdr:sp>
      <xdr:nvSpPr>
        <xdr:cNvPr id="19" name="Line 20"/>
        <xdr:cNvSpPr>
          <a:spLocks/>
        </xdr:cNvSpPr>
      </xdr:nvSpPr>
      <xdr:spPr>
        <a:xfrm>
          <a:off x="6858000" y="1104900"/>
          <a:ext cx="2571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76200</xdr:colOff>
      <xdr:row>4</xdr:row>
      <xdr:rowOff>238125</xdr:rowOff>
    </xdr:from>
    <xdr:to>
      <xdr:col>18</xdr:col>
      <xdr:colOff>76200</xdr:colOff>
      <xdr:row>6</xdr:row>
      <xdr:rowOff>180975</xdr:rowOff>
    </xdr:to>
    <xdr:sp>
      <xdr:nvSpPr>
        <xdr:cNvPr id="20" name="Line 21"/>
        <xdr:cNvSpPr>
          <a:spLocks/>
        </xdr:cNvSpPr>
      </xdr:nvSpPr>
      <xdr:spPr>
        <a:xfrm flipV="1">
          <a:off x="5686425" y="1152525"/>
          <a:ext cx="11811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238125</xdr:rowOff>
    </xdr:from>
    <xdr:to>
      <xdr:col>18</xdr:col>
      <xdr:colOff>438150</xdr:colOff>
      <xdr:row>8</xdr:row>
      <xdr:rowOff>238125</xdr:rowOff>
    </xdr:to>
    <xdr:sp>
      <xdr:nvSpPr>
        <xdr:cNvPr id="21" name="Line 22"/>
        <xdr:cNvSpPr>
          <a:spLocks/>
        </xdr:cNvSpPr>
      </xdr:nvSpPr>
      <xdr:spPr>
        <a:xfrm>
          <a:off x="5581650" y="227647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190500</xdr:colOff>
      <xdr:row>5</xdr:row>
      <xdr:rowOff>180975</xdr:rowOff>
    </xdr:from>
    <xdr:to>
      <xdr:col>19</xdr:col>
      <xdr:colOff>190500</xdr:colOff>
      <xdr:row>7</xdr:row>
      <xdr:rowOff>238125</xdr:rowOff>
    </xdr:to>
    <xdr:sp>
      <xdr:nvSpPr>
        <xdr:cNvPr id="22" name="Line 23"/>
        <xdr:cNvSpPr>
          <a:spLocks/>
        </xdr:cNvSpPr>
      </xdr:nvSpPr>
      <xdr:spPr>
        <a:xfrm>
          <a:off x="7486650" y="1362075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38100</xdr:rowOff>
    </xdr:from>
    <xdr:to>
      <xdr:col>10</xdr:col>
      <xdr:colOff>200025</xdr:colOff>
      <xdr:row>38</xdr:row>
      <xdr:rowOff>200025</xdr:rowOff>
    </xdr:to>
    <xdr:sp>
      <xdr:nvSpPr>
        <xdr:cNvPr id="23" name="AutoShape 24"/>
        <xdr:cNvSpPr>
          <a:spLocks/>
        </xdr:cNvSpPr>
      </xdr:nvSpPr>
      <xdr:spPr>
        <a:xfrm>
          <a:off x="2514600" y="106108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28575</xdr:rowOff>
    </xdr:from>
    <xdr:to>
      <xdr:col>21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91525" y="12382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24</xdr:row>
      <xdr:rowOff>76200</xdr:rowOff>
    </xdr:from>
    <xdr:to>
      <xdr:col>10</xdr:col>
      <xdr:colOff>200025</xdr:colOff>
      <xdr:row>24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495550" y="7172325"/>
          <a:ext cx="1619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38100</xdr:rowOff>
    </xdr:from>
    <xdr:to>
      <xdr:col>10</xdr:col>
      <xdr:colOff>200025</xdr:colOff>
      <xdr:row>25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514600" y="7419975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0</xdr:rowOff>
    </xdr:from>
    <xdr:to>
      <xdr:col>9</xdr:col>
      <xdr:colOff>123825</xdr:colOff>
      <xdr:row>15</xdr:row>
      <xdr:rowOff>0</xdr:rowOff>
    </xdr:to>
    <xdr:sp>
      <xdr:nvSpPr>
        <xdr:cNvPr id="4" name="Oval 4"/>
        <xdr:cNvSpPr>
          <a:spLocks/>
        </xdr:cNvSpPr>
      </xdr:nvSpPr>
      <xdr:spPr>
        <a:xfrm>
          <a:off x="2181225" y="4619625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0</xdr:rowOff>
    </xdr:from>
    <xdr:to>
      <xdr:col>9</xdr:col>
      <xdr:colOff>133350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162175" y="4619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285750</xdr:colOff>
      <xdr:row>14</xdr:row>
      <xdr:rowOff>47625</xdr:rowOff>
    </xdr:from>
    <xdr:to>
      <xdr:col>17</xdr:col>
      <xdr:colOff>438150</xdr:colOff>
      <xdr:row>14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6353175" y="43338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114300</xdr:rowOff>
    </xdr:from>
    <xdr:to>
      <xdr:col>9</xdr:col>
      <xdr:colOff>66675</xdr:colOff>
      <xdr:row>15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2133600" y="4733925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276225</xdr:colOff>
      <xdr:row>15</xdr:row>
      <xdr:rowOff>0</xdr:rowOff>
    </xdr:from>
    <xdr:to>
      <xdr:col>17</xdr:col>
      <xdr:colOff>428625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343650" y="4619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161925</xdr:rowOff>
    </xdr:from>
    <xdr:to>
      <xdr:col>18</xdr:col>
      <xdr:colOff>476250</xdr:colOff>
      <xdr:row>7</xdr:row>
      <xdr:rowOff>266700</xdr:rowOff>
    </xdr:to>
    <xdr:sp>
      <xdr:nvSpPr>
        <xdr:cNvPr id="9" name="Line 10"/>
        <xdr:cNvSpPr>
          <a:spLocks/>
        </xdr:cNvSpPr>
      </xdr:nvSpPr>
      <xdr:spPr>
        <a:xfrm flipV="1">
          <a:off x="5572125" y="1905000"/>
          <a:ext cx="1695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266700</xdr:rowOff>
    </xdr:from>
    <xdr:to>
      <xdr:col>18</xdr:col>
      <xdr:colOff>447675</xdr:colOff>
      <xdr:row>7</xdr:row>
      <xdr:rowOff>266700</xdr:rowOff>
    </xdr:to>
    <xdr:sp>
      <xdr:nvSpPr>
        <xdr:cNvPr id="10" name="Line 11"/>
        <xdr:cNvSpPr>
          <a:spLocks/>
        </xdr:cNvSpPr>
      </xdr:nvSpPr>
      <xdr:spPr>
        <a:xfrm>
          <a:off x="5572125" y="25812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400050</xdr:colOff>
      <xdr:row>6</xdr:row>
      <xdr:rowOff>200025</xdr:rowOff>
    </xdr:from>
    <xdr:to>
      <xdr:col>17</xdr:col>
      <xdr:colOff>523875</xdr:colOff>
      <xdr:row>7</xdr:row>
      <xdr:rowOff>266700</xdr:rowOff>
    </xdr:to>
    <xdr:sp>
      <xdr:nvSpPr>
        <xdr:cNvPr id="11" name="Freeform 12"/>
        <xdr:cNvSpPr>
          <a:spLocks/>
        </xdr:cNvSpPr>
      </xdr:nvSpPr>
      <xdr:spPr>
        <a:xfrm>
          <a:off x="6467475" y="2228850"/>
          <a:ext cx="123825" cy="352425"/>
        </a:xfrm>
        <a:custGeom>
          <a:pathLst>
            <a:path h="38" w="13">
              <a:moveTo>
                <a:pt x="0" y="0"/>
              </a:moveTo>
              <a:cubicBezTo>
                <a:pt x="4" y="5"/>
                <a:pt x="9" y="11"/>
                <a:pt x="11" y="17"/>
              </a:cubicBezTo>
              <a:cubicBezTo>
                <a:pt x="13" y="23"/>
                <a:pt x="13" y="35"/>
                <a:pt x="13" y="38"/>
              </a:cubicBezTo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142875</xdr:rowOff>
    </xdr:from>
    <xdr:to>
      <xdr:col>18</xdr:col>
      <xdr:colOff>180975</xdr:colOff>
      <xdr:row>5</xdr:row>
      <xdr:rowOff>257175</xdr:rowOff>
    </xdr:to>
    <xdr:sp>
      <xdr:nvSpPr>
        <xdr:cNvPr id="12" name="Line 13"/>
        <xdr:cNvSpPr>
          <a:spLocks/>
        </xdr:cNvSpPr>
      </xdr:nvSpPr>
      <xdr:spPr>
        <a:xfrm>
          <a:off x="6915150" y="1885950"/>
          <a:ext cx="57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180975</xdr:colOff>
      <xdr:row>5</xdr:row>
      <xdr:rowOff>219075</xdr:rowOff>
    </xdr:from>
    <xdr:to>
      <xdr:col>18</xdr:col>
      <xdr:colOff>257175</xdr:colOff>
      <xdr:row>5</xdr:row>
      <xdr:rowOff>257175</xdr:rowOff>
    </xdr:to>
    <xdr:sp>
      <xdr:nvSpPr>
        <xdr:cNvPr id="13" name="Line 14"/>
        <xdr:cNvSpPr>
          <a:spLocks/>
        </xdr:cNvSpPr>
      </xdr:nvSpPr>
      <xdr:spPr>
        <a:xfrm flipV="1">
          <a:off x="6972300" y="196215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104775</xdr:rowOff>
    </xdr:from>
    <xdr:to>
      <xdr:col>18</xdr:col>
      <xdr:colOff>200025</xdr:colOff>
      <xdr:row>5</xdr:row>
      <xdr:rowOff>142875</xdr:rowOff>
    </xdr:to>
    <xdr:sp>
      <xdr:nvSpPr>
        <xdr:cNvPr id="14" name="Line 15"/>
        <xdr:cNvSpPr>
          <a:spLocks/>
        </xdr:cNvSpPr>
      </xdr:nvSpPr>
      <xdr:spPr>
        <a:xfrm flipV="1">
          <a:off x="6915150" y="184785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</xdr:row>
      <xdr:rowOff>19050</xdr:rowOff>
    </xdr:from>
    <xdr:to>
      <xdr:col>16</xdr:col>
      <xdr:colOff>209550</xdr:colOff>
      <xdr:row>7</xdr:row>
      <xdr:rowOff>57150</xdr:rowOff>
    </xdr:to>
    <xdr:sp>
      <xdr:nvSpPr>
        <xdr:cNvPr id="15" name="Line 16"/>
        <xdr:cNvSpPr>
          <a:spLocks/>
        </xdr:cNvSpPr>
      </xdr:nvSpPr>
      <xdr:spPr>
        <a:xfrm flipV="1">
          <a:off x="5724525" y="2333625"/>
          <a:ext cx="952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57150</xdr:rowOff>
    </xdr:from>
    <xdr:to>
      <xdr:col>16</xdr:col>
      <xdr:colOff>171450</xdr:colOff>
      <xdr:row>7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5734050" y="2371725"/>
          <a:ext cx="476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171450</xdr:colOff>
      <xdr:row>7</xdr:row>
      <xdr:rowOff>123825</xdr:rowOff>
    </xdr:from>
    <xdr:to>
      <xdr:col>16</xdr:col>
      <xdr:colOff>247650</xdr:colOff>
      <xdr:row>7</xdr:row>
      <xdr:rowOff>161925</xdr:rowOff>
    </xdr:to>
    <xdr:sp>
      <xdr:nvSpPr>
        <xdr:cNvPr id="17" name="Line 18"/>
        <xdr:cNvSpPr>
          <a:spLocks/>
        </xdr:cNvSpPr>
      </xdr:nvSpPr>
      <xdr:spPr>
        <a:xfrm flipV="1">
          <a:off x="5781675" y="2438400"/>
          <a:ext cx="762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95250</xdr:rowOff>
    </xdr:from>
    <xdr:to>
      <xdr:col>16</xdr:col>
      <xdr:colOff>304800</xdr:colOff>
      <xdr:row>8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5657850" y="2124075"/>
          <a:ext cx="25717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66675</xdr:colOff>
      <xdr:row>4</xdr:row>
      <xdr:rowOff>190500</xdr:rowOff>
    </xdr:from>
    <xdr:to>
      <xdr:col>18</xdr:col>
      <xdr:colOff>323850</xdr:colOff>
      <xdr:row>6</xdr:row>
      <xdr:rowOff>209550</xdr:rowOff>
    </xdr:to>
    <xdr:sp>
      <xdr:nvSpPr>
        <xdr:cNvPr id="19" name="Line 20"/>
        <xdr:cNvSpPr>
          <a:spLocks/>
        </xdr:cNvSpPr>
      </xdr:nvSpPr>
      <xdr:spPr>
        <a:xfrm>
          <a:off x="6858000" y="1666875"/>
          <a:ext cx="2571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95250</xdr:colOff>
      <xdr:row>4</xdr:row>
      <xdr:rowOff>219075</xdr:rowOff>
    </xdr:from>
    <xdr:to>
      <xdr:col>18</xdr:col>
      <xdr:colOff>66675</xdr:colOff>
      <xdr:row>6</xdr:row>
      <xdr:rowOff>142875</xdr:rowOff>
    </xdr:to>
    <xdr:sp>
      <xdr:nvSpPr>
        <xdr:cNvPr id="20" name="Line 21"/>
        <xdr:cNvSpPr>
          <a:spLocks/>
        </xdr:cNvSpPr>
      </xdr:nvSpPr>
      <xdr:spPr>
        <a:xfrm flipV="1">
          <a:off x="5705475" y="1695450"/>
          <a:ext cx="1152525" cy="4762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228600</xdr:rowOff>
    </xdr:from>
    <xdr:to>
      <xdr:col>18</xdr:col>
      <xdr:colOff>438150</xdr:colOff>
      <xdr:row>8</xdr:row>
      <xdr:rowOff>228600</xdr:rowOff>
    </xdr:to>
    <xdr:sp>
      <xdr:nvSpPr>
        <xdr:cNvPr id="21" name="Line 22"/>
        <xdr:cNvSpPr>
          <a:spLocks/>
        </xdr:cNvSpPr>
      </xdr:nvSpPr>
      <xdr:spPr>
        <a:xfrm>
          <a:off x="5581650" y="282892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190500</xdr:colOff>
      <xdr:row>5</xdr:row>
      <xdr:rowOff>180975</xdr:rowOff>
    </xdr:from>
    <xdr:to>
      <xdr:col>19</xdr:col>
      <xdr:colOff>190500</xdr:colOff>
      <xdr:row>7</xdr:row>
      <xdr:rowOff>238125</xdr:rowOff>
    </xdr:to>
    <xdr:sp>
      <xdr:nvSpPr>
        <xdr:cNvPr id="22" name="Line 23"/>
        <xdr:cNvSpPr>
          <a:spLocks/>
        </xdr:cNvSpPr>
      </xdr:nvSpPr>
      <xdr:spPr>
        <a:xfrm>
          <a:off x="7486650" y="192405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238125</xdr:rowOff>
    </xdr:from>
    <xdr:to>
      <xdr:col>7</xdr:col>
      <xdr:colOff>114300</xdr:colOff>
      <xdr:row>49</xdr:row>
      <xdr:rowOff>238125</xdr:rowOff>
    </xdr:to>
    <xdr:sp>
      <xdr:nvSpPr>
        <xdr:cNvPr id="1" name="Rectangle 35"/>
        <xdr:cNvSpPr>
          <a:spLocks/>
        </xdr:cNvSpPr>
      </xdr:nvSpPr>
      <xdr:spPr>
        <a:xfrm>
          <a:off x="5000625" y="12153900"/>
          <a:ext cx="1143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114300</xdr:colOff>
      <xdr:row>42</xdr:row>
      <xdr:rowOff>247650</xdr:rowOff>
    </xdr:from>
    <xdr:to>
      <xdr:col>8</xdr:col>
      <xdr:colOff>447675</xdr:colOff>
      <xdr:row>43</xdr:row>
      <xdr:rowOff>66675</xdr:rowOff>
    </xdr:to>
    <xdr:sp>
      <xdr:nvSpPr>
        <xdr:cNvPr id="2" name="Rectangle 36"/>
        <xdr:cNvSpPr>
          <a:spLocks/>
        </xdr:cNvSpPr>
      </xdr:nvSpPr>
      <xdr:spPr>
        <a:xfrm rot="5400000">
          <a:off x="5114925" y="12163425"/>
          <a:ext cx="904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114300</xdr:colOff>
      <xdr:row>49</xdr:row>
      <xdr:rowOff>114300</xdr:rowOff>
    </xdr:from>
    <xdr:to>
      <xdr:col>8</xdr:col>
      <xdr:colOff>466725</xdr:colOff>
      <xdr:row>49</xdr:row>
      <xdr:rowOff>228600</xdr:rowOff>
    </xdr:to>
    <xdr:sp>
      <xdr:nvSpPr>
        <xdr:cNvPr id="3" name="Rectangle 37"/>
        <xdr:cNvSpPr>
          <a:spLocks/>
        </xdr:cNvSpPr>
      </xdr:nvSpPr>
      <xdr:spPr>
        <a:xfrm rot="5400000">
          <a:off x="5114925" y="13963650"/>
          <a:ext cx="923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42</xdr:row>
      <xdr:rowOff>238125</xdr:rowOff>
    </xdr:from>
    <xdr:to>
      <xdr:col>8</xdr:col>
      <xdr:colOff>552450</xdr:colOff>
      <xdr:row>44</xdr:row>
      <xdr:rowOff>161925</xdr:rowOff>
    </xdr:to>
    <xdr:sp>
      <xdr:nvSpPr>
        <xdr:cNvPr id="4" name="Rectangle 38"/>
        <xdr:cNvSpPr>
          <a:spLocks/>
        </xdr:cNvSpPr>
      </xdr:nvSpPr>
      <xdr:spPr>
        <a:xfrm>
          <a:off x="6019800" y="12153900"/>
          <a:ext cx="104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48</xdr:row>
      <xdr:rowOff>28575</xdr:rowOff>
    </xdr:from>
    <xdr:to>
      <xdr:col>8</xdr:col>
      <xdr:colOff>590550</xdr:colOff>
      <xdr:row>49</xdr:row>
      <xdr:rowOff>228600</xdr:rowOff>
    </xdr:to>
    <xdr:sp>
      <xdr:nvSpPr>
        <xdr:cNvPr id="5" name="Rectangle 39"/>
        <xdr:cNvSpPr>
          <a:spLocks/>
        </xdr:cNvSpPr>
      </xdr:nvSpPr>
      <xdr:spPr>
        <a:xfrm>
          <a:off x="6048375" y="13601700"/>
          <a:ext cx="11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314325</xdr:colOff>
      <xdr:row>46</xdr:row>
      <xdr:rowOff>114300</xdr:rowOff>
    </xdr:from>
    <xdr:to>
      <xdr:col>10</xdr:col>
      <xdr:colOff>190500</xdr:colOff>
      <xdr:row>46</xdr:row>
      <xdr:rowOff>114300</xdr:rowOff>
    </xdr:to>
    <xdr:sp>
      <xdr:nvSpPr>
        <xdr:cNvPr id="6" name="Line 40"/>
        <xdr:cNvSpPr>
          <a:spLocks/>
        </xdr:cNvSpPr>
      </xdr:nvSpPr>
      <xdr:spPr>
        <a:xfrm>
          <a:off x="4705350" y="131349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381000</xdr:colOff>
      <xdr:row>41</xdr:row>
      <xdr:rowOff>57150</xdr:rowOff>
    </xdr:from>
    <xdr:to>
      <xdr:col>7</xdr:col>
      <xdr:colOff>381000</xdr:colOff>
      <xdr:row>50</xdr:row>
      <xdr:rowOff>66675</xdr:rowOff>
    </xdr:to>
    <xdr:sp>
      <xdr:nvSpPr>
        <xdr:cNvPr id="7" name="Line 41"/>
        <xdr:cNvSpPr>
          <a:spLocks/>
        </xdr:cNvSpPr>
      </xdr:nvSpPr>
      <xdr:spPr>
        <a:xfrm>
          <a:off x="5381625" y="116967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10</xdr:col>
      <xdr:colOff>190500</xdr:colOff>
      <xdr:row>45</xdr:row>
      <xdr:rowOff>152400</xdr:rowOff>
    </xdr:from>
    <xdr:ext cx="190500" cy="419100"/>
    <xdr:sp>
      <xdr:nvSpPr>
        <xdr:cNvPr id="8" name="Text Box 42"/>
        <xdr:cNvSpPr txBox="1">
          <a:spLocks noChangeArrowheads="1"/>
        </xdr:cNvSpPr>
      </xdr:nvSpPr>
      <xdr:spPr>
        <a:xfrm>
          <a:off x="6981825" y="12896850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7</xdr:col>
      <xdr:colOff>304800</xdr:colOff>
      <xdr:row>40</xdr:row>
      <xdr:rowOff>0</xdr:rowOff>
    </xdr:from>
    <xdr:ext cx="190500" cy="419100"/>
    <xdr:sp>
      <xdr:nvSpPr>
        <xdr:cNvPr id="9" name="Text Box 43"/>
        <xdr:cNvSpPr txBox="1">
          <a:spLocks noChangeArrowheads="1"/>
        </xdr:cNvSpPr>
      </xdr:nvSpPr>
      <xdr:spPr>
        <a:xfrm>
          <a:off x="5305425" y="1130617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y</a:t>
          </a:r>
        </a:p>
      </xdr:txBody>
    </xdr:sp>
    <xdr:clientData/>
  </xdr:oneCellAnchor>
  <xdr:twoCellAnchor>
    <xdr:from>
      <xdr:col>6</xdr:col>
      <xdr:colOff>9525</xdr:colOff>
      <xdr:row>42</xdr:row>
      <xdr:rowOff>257175</xdr:rowOff>
    </xdr:from>
    <xdr:to>
      <xdr:col>6</xdr:col>
      <xdr:colOff>9525</xdr:colOff>
      <xdr:row>49</xdr:row>
      <xdr:rowOff>238125</xdr:rowOff>
    </xdr:to>
    <xdr:sp>
      <xdr:nvSpPr>
        <xdr:cNvPr id="10" name="Line 44"/>
        <xdr:cNvSpPr>
          <a:spLocks/>
        </xdr:cNvSpPr>
      </xdr:nvSpPr>
      <xdr:spPr>
        <a:xfrm>
          <a:off x="4400550" y="1217295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590550</xdr:colOff>
      <xdr:row>41</xdr:row>
      <xdr:rowOff>266700</xdr:rowOff>
    </xdr:from>
    <xdr:to>
      <xdr:col>8</xdr:col>
      <xdr:colOff>600075</xdr:colOff>
      <xdr:row>41</xdr:row>
      <xdr:rowOff>266700</xdr:rowOff>
    </xdr:to>
    <xdr:sp>
      <xdr:nvSpPr>
        <xdr:cNvPr id="11" name="Line 45"/>
        <xdr:cNvSpPr>
          <a:spLocks/>
        </xdr:cNvSpPr>
      </xdr:nvSpPr>
      <xdr:spPr>
        <a:xfrm rot="5400000">
          <a:off x="4981575" y="119062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257175</xdr:rowOff>
    </xdr:from>
    <xdr:to>
      <xdr:col>9</xdr:col>
      <xdr:colOff>9525</xdr:colOff>
      <xdr:row>44</xdr:row>
      <xdr:rowOff>266700</xdr:rowOff>
    </xdr:to>
    <xdr:sp>
      <xdr:nvSpPr>
        <xdr:cNvPr id="12" name="Line 46"/>
        <xdr:cNvSpPr>
          <a:spLocks/>
        </xdr:cNvSpPr>
      </xdr:nvSpPr>
      <xdr:spPr>
        <a:xfrm rot="5400000">
          <a:off x="5981700" y="12725400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161925</xdr:colOff>
      <xdr:row>42</xdr:row>
      <xdr:rowOff>247650</xdr:rowOff>
    </xdr:from>
    <xdr:to>
      <xdr:col>9</xdr:col>
      <xdr:colOff>171450</xdr:colOff>
      <xdr:row>44</xdr:row>
      <xdr:rowOff>180975</xdr:rowOff>
    </xdr:to>
    <xdr:sp>
      <xdr:nvSpPr>
        <xdr:cNvPr id="13" name="Line 47"/>
        <xdr:cNvSpPr>
          <a:spLocks/>
        </xdr:cNvSpPr>
      </xdr:nvSpPr>
      <xdr:spPr>
        <a:xfrm flipH="1">
          <a:off x="6343650" y="12163425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11</xdr:col>
      <xdr:colOff>304800</xdr:colOff>
      <xdr:row>42</xdr:row>
      <xdr:rowOff>0</xdr:rowOff>
    </xdr:from>
    <xdr:ext cx="95250" cy="409575"/>
    <xdr:sp>
      <xdr:nvSpPr>
        <xdr:cNvPr id="14" name="Text Box 48"/>
        <xdr:cNvSpPr txBox="1">
          <a:spLocks noChangeArrowheads="1"/>
        </xdr:cNvSpPr>
      </xdr:nvSpPr>
      <xdr:spPr>
        <a:xfrm>
          <a:off x="7705725" y="11915775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333375</xdr:colOff>
      <xdr:row>45</xdr:row>
      <xdr:rowOff>114300</xdr:rowOff>
    </xdr:from>
    <xdr:ext cx="219075" cy="409575"/>
    <xdr:sp>
      <xdr:nvSpPr>
        <xdr:cNvPr id="15" name="Text Box 49"/>
        <xdr:cNvSpPr txBox="1">
          <a:spLocks noChangeArrowheads="1"/>
        </xdr:cNvSpPr>
      </xdr:nvSpPr>
      <xdr:spPr>
        <a:xfrm>
          <a:off x="4114800" y="12858750"/>
          <a:ext cx="219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oneCellAnchor>
  <xdr:oneCellAnchor>
    <xdr:from>
      <xdr:col>7</xdr:col>
      <xdr:colOff>485775</xdr:colOff>
      <xdr:row>40</xdr:row>
      <xdr:rowOff>76200</xdr:rowOff>
    </xdr:from>
    <xdr:ext cx="209550" cy="419100"/>
    <xdr:sp>
      <xdr:nvSpPr>
        <xdr:cNvPr id="16" name="Text Box 50"/>
        <xdr:cNvSpPr txBox="1">
          <a:spLocks noChangeArrowheads="1"/>
        </xdr:cNvSpPr>
      </xdr:nvSpPr>
      <xdr:spPr>
        <a:xfrm>
          <a:off x="5486400" y="11382375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oneCellAnchor>
    <xdr:from>
      <xdr:col>9</xdr:col>
      <xdr:colOff>190500</xdr:colOff>
      <xdr:row>43</xdr:row>
      <xdr:rowOff>9525</xdr:rowOff>
    </xdr:from>
    <xdr:ext cx="219075" cy="419100"/>
    <xdr:sp>
      <xdr:nvSpPr>
        <xdr:cNvPr id="17" name="Text Box 51"/>
        <xdr:cNvSpPr txBox="1">
          <a:spLocks noChangeArrowheads="1"/>
        </xdr:cNvSpPr>
      </xdr:nvSpPr>
      <xdr:spPr>
        <a:xfrm>
          <a:off x="6372225" y="1220152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oneCellAnchor>
    <xdr:from>
      <xdr:col>8</xdr:col>
      <xdr:colOff>457200</xdr:colOff>
      <xdr:row>44</xdr:row>
      <xdr:rowOff>180975</xdr:rowOff>
    </xdr:from>
    <xdr:ext cx="152400" cy="419100"/>
    <xdr:sp>
      <xdr:nvSpPr>
        <xdr:cNvPr id="18" name="Text Box 52"/>
        <xdr:cNvSpPr txBox="1">
          <a:spLocks noChangeArrowheads="1"/>
        </xdr:cNvSpPr>
      </xdr:nvSpPr>
      <xdr:spPr>
        <a:xfrm>
          <a:off x="6029325" y="12649200"/>
          <a:ext cx="152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twoCellAnchor>
    <xdr:from>
      <xdr:col>6</xdr:col>
      <xdr:colOff>219075</xdr:colOff>
      <xdr:row>44</xdr:row>
      <xdr:rowOff>238125</xdr:rowOff>
    </xdr:from>
    <xdr:to>
      <xdr:col>6</xdr:col>
      <xdr:colOff>542925</xdr:colOff>
      <xdr:row>45</xdr:row>
      <xdr:rowOff>266700</xdr:rowOff>
    </xdr:to>
    <xdr:sp>
      <xdr:nvSpPr>
        <xdr:cNvPr id="19" name="Oval 53"/>
        <xdr:cNvSpPr>
          <a:spLocks/>
        </xdr:cNvSpPr>
      </xdr:nvSpPr>
      <xdr:spPr>
        <a:xfrm>
          <a:off x="4610100" y="12706350"/>
          <a:ext cx="3238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304800</xdr:colOff>
      <xdr:row>44</xdr:row>
      <xdr:rowOff>219075</xdr:rowOff>
    </xdr:from>
    <xdr:ext cx="161925" cy="323850"/>
    <xdr:sp>
      <xdr:nvSpPr>
        <xdr:cNvPr id="20" name="Text Box 54"/>
        <xdr:cNvSpPr txBox="1">
          <a:spLocks noChangeArrowheads="1"/>
        </xdr:cNvSpPr>
      </xdr:nvSpPr>
      <xdr:spPr>
        <a:xfrm>
          <a:off x="4695825" y="126873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</a:t>
          </a:r>
        </a:p>
      </xdr:txBody>
    </xdr:sp>
    <xdr:clientData/>
  </xdr:oneCellAnchor>
  <xdr:twoCellAnchor>
    <xdr:from>
      <xdr:col>7</xdr:col>
      <xdr:colOff>419100</xdr:colOff>
      <xdr:row>43</xdr:row>
      <xdr:rowOff>123825</xdr:rowOff>
    </xdr:from>
    <xdr:to>
      <xdr:col>8</xdr:col>
      <xdr:colOff>133350</xdr:colOff>
      <xdr:row>44</xdr:row>
      <xdr:rowOff>152400</xdr:rowOff>
    </xdr:to>
    <xdr:sp>
      <xdr:nvSpPr>
        <xdr:cNvPr id="21" name="Oval 55"/>
        <xdr:cNvSpPr>
          <a:spLocks/>
        </xdr:cNvSpPr>
      </xdr:nvSpPr>
      <xdr:spPr>
        <a:xfrm>
          <a:off x="5419725" y="123158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7</xdr:col>
      <xdr:colOff>504825</xdr:colOff>
      <xdr:row>43</xdr:row>
      <xdr:rowOff>104775</xdr:rowOff>
    </xdr:from>
    <xdr:ext cx="171450" cy="323850"/>
    <xdr:sp>
      <xdr:nvSpPr>
        <xdr:cNvPr id="22" name="Text Box 56"/>
        <xdr:cNvSpPr txBox="1">
          <a:spLocks noChangeArrowheads="1"/>
        </xdr:cNvSpPr>
      </xdr:nvSpPr>
      <xdr:spPr>
        <a:xfrm>
          <a:off x="5505450" y="1229677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2</a:t>
          </a:r>
        </a:p>
      </xdr:txBody>
    </xdr:sp>
    <xdr:clientData/>
  </xdr:oneCellAnchor>
  <xdr:twoCellAnchor>
    <xdr:from>
      <xdr:col>7</xdr:col>
      <xdr:colOff>409575</xdr:colOff>
      <xdr:row>48</xdr:row>
      <xdr:rowOff>9525</xdr:rowOff>
    </xdr:from>
    <xdr:to>
      <xdr:col>8</xdr:col>
      <xdr:colOff>123825</xdr:colOff>
      <xdr:row>49</xdr:row>
      <xdr:rowOff>38100</xdr:rowOff>
    </xdr:to>
    <xdr:sp>
      <xdr:nvSpPr>
        <xdr:cNvPr id="23" name="Oval 57"/>
        <xdr:cNvSpPr>
          <a:spLocks/>
        </xdr:cNvSpPr>
      </xdr:nvSpPr>
      <xdr:spPr>
        <a:xfrm>
          <a:off x="5410200" y="135826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7</xdr:col>
      <xdr:colOff>495300</xdr:colOff>
      <xdr:row>47</xdr:row>
      <xdr:rowOff>266700</xdr:rowOff>
    </xdr:from>
    <xdr:ext cx="161925" cy="333375"/>
    <xdr:sp>
      <xdr:nvSpPr>
        <xdr:cNvPr id="24" name="Text Box 58"/>
        <xdr:cNvSpPr txBox="1">
          <a:spLocks noChangeArrowheads="1"/>
        </xdr:cNvSpPr>
      </xdr:nvSpPr>
      <xdr:spPr>
        <a:xfrm>
          <a:off x="5495925" y="13563600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2</a:t>
          </a:r>
        </a:p>
      </xdr:txBody>
    </xdr:sp>
    <xdr:clientData/>
  </xdr:oneCellAnchor>
  <xdr:twoCellAnchor>
    <xdr:from>
      <xdr:col>8</xdr:col>
      <xdr:colOff>600075</xdr:colOff>
      <xdr:row>44</xdr:row>
      <xdr:rowOff>190500</xdr:rowOff>
    </xdr:from>
    <xdr:to>
      <xdr:col>9</xdr:col>
      <xdr:colOff>314325</xdr:colOff>
      <xdr:row>45</xdr:row>
      <xdr:rowOff>219075</xdr:rowOff>
    </xdr:to>
    <xdr:sp>
      <xdr:nvSpPr>
        <xdr:cNvPr id="25" name="Oval 59"/>
        <xdr:cNvSpPr>
          <a:spLocks/>
        </xdr:cNvSpPr>
      </xdr:nvSpPr>
      <xdr:spPr>
        <a:xfrm>
          <a:off x="6172200" y="12658725"/>
          <a:ext cx="3238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9</xdr:col>
      <xdr:colOff>76200</xdr:colOff>
      <xdr:row>44</xdr:row>
      <xdr:rowOff>180975</xdr:rowOff>
    </xdr:from>
    <xdr:ext cx="161925" cy="323850"/>
    <xdr:sp>
      <xdr:nvSpPr>
        <xdr:cNvPr id="26" name="Text Box 60"/>
        <xdr:cNvSpPr txBox="1">
          <a:spLocks noChangeArrowheads="1"/>
        </xdr:cNvSpPr>
      </xdr:nvSpPr>
      <xdr:spPr>
        <a:xfrm>
          <a:off x="6257925" y="12649200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</a:p>
      </xdr:txBody>
    </xdr:sp>
    <xdr:clientData/>
  </xdr:oneCellAnchor>
  <xdr:twoCellAnchor>
    <xdr:from>
      <xdr:col>9</xdr:col>
      <xdr:colOff>9525</xdr:colOff>
      <xdr:row>48</xdr:row>
      <xdr:rowOff>57150</xdr:rowOff>
    </xdr:from>
    <xdr:to>
      <xdr:col>9</xdr:col>
      <xdr:colOff>333375</xdr:colOff>
      <xdr:row>49</xdr:row>
      <xdr:rowOff>85725</xdr:rowOff>
    </xdr:to>
    <xdr:sp>
      <xdr:nvSpPr>
        <xdr:cNvPr id="27" name="Oval 61"/>
        <xdr:cNvSpPr>
          <a:spLocks/>
        </xdr:cNvSpPr>
      </xdr:nvSpPr>
      <xdr:spPr>
        <a:xfrm>
          <a:off x="6191250" y="13630275"/>
          <a:ext cx="3238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9</xdr:col>
      <xdr:colOff>104775</xdr:colOff>
      <xdr:row>48</xdr:row>
      <xdr:rowOff>38100</xdr:rowOff>
    </xdr:from>
    <xdr:ext cx="161925" cy="323850"/>
    <xdr:sp>
      <xdr:nvSpPr>
        <xdr:cNvPr id="28" name="Text Box 62"/>
        <xdr:cNvSpPr txBox="1">
          <a:spLocks noChangeArrowheads="1"/>
        </xdr:cNvSpPr>
      </xdr:nvSpPr>
      <xdr:spPr>
        <a:xfrm>
          <a:off x="6286500" y="13611225"/>
          <a:ext cx="161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114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</a:p>
      </xdr:txBody>
    </xdr:sp>
    <xdr:clientData/>
  </xdr:oneCellAnchor>
  <xdr:twoCellAnchor>
    <xdr:from>
      <xdr:col>6</xdr:col>
      <xdr:colOff>552450</xdr:colOff>
      <xdr:row>50</xdr:row>
      <xdr:rowOff>95250</xdr:rowOff>
    </xdr:from>
    <xdr:to>
      <xdr:col>7</xdr:col>
      <xdr:colOff>152400</xdr:colOff>
      <xdr:row>50</xdr:row>
      <xdr:rowOff>104775</xdr:rowOff>
    </xdr:to>
    <xdr:sp>
      <xdr:nvSpPr>
        <xdr:cNvPr id="29" name="Line 63"/>
        <xdr:cNvSpPr>
          <a:spLocks/>
        </xdr:cNvSpPr>
      </xdr:nvSpPr>
      <xdr:spPr>
        <a:xfrm rot="5400000">
          <a:off x="4943475" y="14220825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600075</xdr:colOff>
      <xdr:row>50</xdr:row>
      <xdr:rowOff>28575</xdr:rowOff>
    </xdr:from>
    <xdr:ext cx="142875" cy="409575"/>
    <xdr:sp>
      <xdr:nvSpPr>
        <xdr:cNvPr id="30" name="Text Box 64"/>
        <xdr:cNvSpPr txBox="1">
          <a:spLocks noChangeArrowheads="1"/>
        </xdr:cNvSpPr>
      </xdr:nvSpPr>
      <xdr:spPr>
        <a:xfrm>
          <a:off x="4991100" y="14154150"/>
          <a:ext cx="142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oneCellAnchor>
    <xdr:from>
      <xdr:col>7</xdr:col>
      <xdr:colOff>219075</xdr:colOff>
      <xdr:row>50</xdr:row>
      <xdr:rowOff>9525</xdr:rowOff>
    </xdr:from>
    <xdr:ext cx="95250" cy="333375"/>
    <xdr:sp>
      <xdr:nvSpPr>
        <xdr:cNvPr id="31" name="Text Box 65"/>
        <xdr:cNvSpPr txBox="1">
          <a:spLocks noChangeArrowheads="1"/>
        </xdr:cNvSpPr>
      </xdr:nvSpPr>
      <xdr:spPr>
        <a:xfrm>
          <a:off x="5219700" y="141351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6</xdr:col>
      <xdr:colOff>504825</xdr:colOff>
      <xdr:row>49</xdr:row>
      <xdr:rowOff>57150</xdr:rowOff>
    </xdr:from>
    <xdr:to>
      <xdr:col>6</xdr:col>
      <xdr:colOff>514350</xdr:colOff>
      <xdr:row>49</xdr:row>
      <xdr:rowOff>247650</xdr:rowOff>
    </xdr:to>
    <xdr:sp>
      <xdr:nvSpPr>
        <xdr:cNvPr id="32" name="Line 66"/>
        <xdr:cNvSpPr>
          <a:spLocks/>
        </xdr:cNvSpPr>
      </xdr:nvSpPr>
      <xdr:spPr>
        <a:xfrm>
          <a:off x="4895850" y="139065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6</xdr:col>
      <xdr:colOff>295275</xdr:colOff>
      <xdr:row>48</xdr:row>
      <xdr:rowOff>219075</xdr:rowOff>
    </xdr:from>
    <xdr:ext cx="142875" cy="419100"/>
    <xdr:sp>
      <xdr:nvSpPr>
        <xdr:cNvPr id="33" name="Text Box 67"/>
        <xdr:cNvSpPr txBox="1">
          <a:spLocks noChangeArrowheads="1"/>
        </xdr:cNvSpPr>
      </xdr:nvSpPr>
      <xdr:spPr>
        <a:xfrm>
          <a:off x="4686300" y="13792200"/>
          <a:ext cx="142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textlink="$B$9">
      <xdr:nvSpPr>
        <xdr:cNvPr id="1" name="AutoShape 1"/>
        <xdr:cNvSpPr>
          <a:spLocks/>
        </xdr:cNvSpPr>
      </xdr:nvSpPr>
      <xdr:spPr>
        <a:xfrm>
          <a:off x="3962400" y="198120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I=</a:t>
          </a:r>
        </a:p>
      </xdr:txBody>
    </xdr:sp>
    <xdr:clientData/>
  </xdr:twoCellAnchor>
  <xdr:twoCellAnchor>
    <xdr:from>
      <xdr:col>1</xdr:col>
      <xdr:colOff>57150</xdr:colOff>
      <xdr:row>9</xdr:row>
      <xdr:rowOff>114300</xdr:rowOff>
    </xdr:from>
    <xdr:to>
      <xdr:col>1</xdr:col>
      <xdr:colOff>161925</xdr:colOff>
      <xdr:row>9</xdr:row>
      <xdr:rowOff>228600</xdr:rowOff>
    </xdr:to>
    <xdr:sp textlink="$B$9">
      <xdr:nvSpPr>
        <xdr:cNvPr id="2" name="AutoShape 2"/>
        <xdr:cNvSpPr>
          <a:spLocks/>
        </xdr:cNvSpPr>
      </xdr:nvSpPr>
      <xdr:spPr>
        <a:xfrm>
          <a:off x="666750" y="23241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I=</a:t>
          </a:r>
        </a:p>
      </xdr:txBody>
    </xdr:sp>
    <xdr:clientData/>
  </xdr:twoCellAnchor>
  <xdr:oneCellAnchor>
    <xdr:from>
      <xdr:col>1</xdr:col>
      <xdr:colOff>152400</xdr:colOff>
      <xdr:row>9</xdr:row>
      <xdr:rowOff>57150</xdr:rowOff>
    </xdr:from>
    <xdr:ext cx="361950" cy="838200"/>
    <xdr:sp>
      <xdr:nvSpPr>
        <xdr:cNvPr id="3" name="Text Box 3"/>
        <xdr:cNvSpPr txBox="1">
          <a:spLocks noChangeArrowheads="1"/>
        </xdr:cNvSpPr>
      </xdr:nvSpPr>
      <xdr:spPr>
        <a:xfrm>
          <a:off x="762000" y="2266950"/>
          <a:ext cx="36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max=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textlink="$B$9">
      <xdr:nvSpPr>
        <xdr:cNvPr id="4" name="AutoShape 4"/>
        <xdr:cNvSpPr>
          <a:spLocks/>
        </xdr:cNvSpPr>
      </xdr:nvSpPr>
      <xdr:spPr>
        <a:xfrm>
          <a:off x="3962400" y="289560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I=</a:t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1</xdr:col>
      <xdr:colOff>161925</xdr:colOff>
      <xdr:row>18</xdr:row>
      <xdr:rowOff>228600</xdr:rowOff>
    </xdr:to>
    <xdr:sp textlink="$B$9">
      <xdr:nvSpPr>
        <xdr:cNvPr id="5" name="AutoShape 5"/>
        <xdr:cNvSpPr>
          <a:spLocks/>
        </xdr:cNvSpPr>
      </xdr:nvSpPr>
      <xdr:spPr>
        <a:xfrm>
          <a:off x="666750" y="43815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I=</a:t>
          </a:r>
        </a:p>
      </xdr:txBody>
    </xdr:sp>
    <xdr:clientData/>
  </xdr:twoCellAnchor>
  <xdr:oneCellAnchor>
    <xdr:from>
      <xdr:col>1</xdr:col>
      <xdr:colOff>152400</xdr:colOff>
      <xdr:row>18</xdr:row>
      <xdr:rowOff>57150</xdr:rowOff>
    </xdr:from>
    <xdr:ext cx="361950" cy="838200"/>
    <xdr:sp>
      <xdr:nvSpPr>
        <xdr:cNvPr id="6" name="Text Box 6"/>
        <xdr:cNvSpPr txBox="1">
          <a:spLocks noChangeArrowheads="1"/>
        </xdr:cNvSpPr>
      </xdr:nvSpPr>
      <xdr:spPr>
        <a:xfrm>
          <a:off x="762000" y="4324350"/>
          <a:ext cx="36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max=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textlink="$B$9">
      <xdr:nvSpPr>
        <xdr:cNvPr id="7" name="AutoShape 7"/>
        <xdr:cNvSpPr>
          <a:spLocks/>
        </xdr:cNvSpPr>
      </xdr:nvSpPr>
      <xdr:spPr>
        <a:xfrm>
          <a:off x="3962400" y="289560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I=</a:t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161925</xdr:colOff>
      <xdr:row>27</xdr:row>
      <xdr:rowOff>228600</xdr:rowOff>
    </xdr:to>
    <xdr:sp textlink="$B$9">
      <xdr:nvSpPr>
        <xdr:cNvPr id="8" name="AutoShape 8"/>
        <xdr:cNvSpPr>
          <a:spLocks/>
        </xdr:cNvSpPr>
      </xdr:nvSpPr>
      <xdr:spPr>
        <a:xfrm>
          <a:off x="666750" y="64389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I=</a:t>
          </a:r>
        </a:p>
      </xdr:txBody>
    </xdr:sp>
    <xdr:clientData/>
  </xdr:twoCellAnchor>
  <xdr:oneCellAnchor>
    <xdr:from>
      <xdr:col>1</xdr:col>
      <xdr:colOff>152400</xdr:colOff>
      <xdr:row>27</xdr:row>
      <xdr:rowOff>57150</xdr:rowOff>
    </xdr:from>
    <xdr:ext cx="361950" cy="838200"/>
    <xdr:sp>
      <xdr:nvSpPr>
        <xdr:cNvPr id="9" name="Text Box 9"/>
        <xdr:cNvSpPr txBox="1">
          <a:spLocks noChangeArrowheads="1"/>
        </xdr:cNvSpPr>
      </xdr:nvSpPr>
      <xdr:spPr>
        <a:xfrm>
          <a:off x="762000" y="6381750"/>
          <a:ext cx="36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max=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twoCellAnchor>
    <xdr:from>
      <xdr:col>1</xdr:col>
      <xdr:colOff>57150</xdr:colOff>
      <xdr:row>36</xdr:row>
      <xdr:rowOff>114300</xdr:rowOff>
    </xdr:from>
    <xdr:to>
      <xdr:col>1</xdr:col>
      <xdr:colOff>161925</xdr:colOff>
      <xdr:row>36</xdr:row>
      <xdr:rowOff>228600</xdr:rowOff>
    </xdr:to>
    <xdr:sp textlink="$B$9">
      <xdr:nvSpPr>
        <xdr:cNvPr id="10" name="AutoShape 11"/>
        <xdr:cNvSpPr>
          <a:spLocks/>
        </xdr:cNvSpPr>
      </xdr:nvSpPr>
      <xdr:spPr>
        <a:xfrm>
          <a:off x="666750" y="8496300"/>
          <a:ext cx="1047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I=</a:t>
          </a:r>
        </a:p>
      </xdr:txBody>
    </xdr:sp>
    <xdr:clientData/>
  </xdr:twoCellAnchor>
  <xdr:oneCellAnchor>
    <xdr:from>
      <xdr:col>1</xdr:col>
      <xdr:colOff>152400</xdr:colOff>
      <xdr:row>36</xdr:row>
      <xdr:rowOff>57150</xdr:rowOff>
    </xdr:from>
    <xdr:ext cx="361950" cy="838200"/>
    <xdr:sp>
      <xdr:nvSpPr>
        <xdr:cNvPr id="11" name="Text Box 12"/>
        <xdr:cNvSpPr txBox="1">
          <a:spLocks noChangeArrowheads="1"/>
        </xdr:cNvSpPr>
      </xdr:nvSpPr>
      <xdr:spPr>
        <a:xfrm>
          <a:off x="762000" y="8439150"/>
          <a:ext cx="36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max=
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C10" sqref="C10"/>
    </sheetView>
  </sheetViews>
  <sheetFormatPr defaultColWidth="9.140625" defaultRowHeight="21.75"/>
  <cols>
    <col min="11" max="11" width="2.8515625" style="0" customWidth="1"/>
  </cols>
  <sheetData>
    <row r="1" spans="1:11" ht="21.75">
      <c r="A1" s="115"/>
      <c r="B1" s="116"/>
      <c r="C1" s="116"/>
      <c r="D1" s="116"/>
      <c r="E1" s="116"/>
      <c r="F1" s="116"/>
      <c r="G1" s="116"/>
      <c r="H1" s="116"/>
      <c r="I1" s="116"/>
      <c r="J1" s="117"/>
      <c r="K1" s="118"/>
    </row>
    <row r="2" spans="1:11" ht="21.75">
      <c r="A2" s="119" t="s">
        <v>144</v>
      </c>
      <c r="B2" s="3"/>
      <c r="C2" s="3"/>
      <c r="D2" s="3"/>
      <c r="E2" s="3"/>
      <c r="F2" s="3"/>
      <c r="G2" s="3"/>
      <c r="H2" s="3"/>
      <c r="I2" s="3"/>
      <c r="J2" s="120"/>
      <c r="K2" s="121"/>
    </row>
    <row r="3" spans="1:11" ht="21.75">
      <c r="A3" s="119"/>
      <c r="B3" s="3" t="s">
        <v>145</v>
      </c>
      <c r="C3" s="122">
        <v>150</v>
      </c>
      <c r="D3" s="3" t="s">
        <v>143</v>
      </c>
      <c r="E3" s="3" t="s">
        <v>146</v>
      </c>
      <c r="F3" s="123">
        <f>C9/C8</f>
        <v>0.375</v>
      </c>
      <c r="G3" s="3"/>
      <c r="H3" s="3"/>
      <c r="I3" s="3"/>
      <c r="J3" s="120"/>
      <c r="K3" s="121"/>
    </row>
    <row r="4" spans="1:15" ht="21.75">
      <c r="A4" s="119"/>
      <c r="B4" s="3" t="s">
        <v>147</v>
      </c>
      <c r="C4" s="122">
        <v>192</v>
      </c>
      <c r="D4" s="3" t="s">
        <v>143</v>
      </c>
      <c r="E4" s="3"/>
      <c r="F4" s="3"/>
      <c r="G4" s="3"/>
      <c r="H4" s="3"/>
      <c r="I4" s="3"/>
      <c r="J4" s="120"/>
      <c r="K4" s="121"/>
      <c r="N4" t="s">
        <v>148</v>
      </c>
      <c r="O4">
        <v>927</v>
      </c>
    </row>
    <row r="5" spans="1:15" ht="21.75">
      <c r="A5" s="119"/>
      <c r="B5" s="3" t="s">
        <v>9</v>
      </c>
      <c r="C5" s="122">
        <f>SUM(C3:C4)</f>
        <v>342</v>
      </c>
      <c r="D5" s="3" t="s">
        <v>143</v>
      </c>
      <c r="E5" s="3" t="s">
        <v>149</v>
      </c>
      <c r="F5" s="124">
        <f>C5*C9/3*(3-F3^2)/2</f>
        <v>244.4765625</v>
      </c>
      <c r="G5" s="3" t="s">
        <v>150</v>
      </c>
      <c r="H5" s="3"/>
      <c r="I5" s="3"/>
      <c r="J5" s="120"/>
      <c r="K5" s="121"/>
      <c r="N5" t="s">
        <v>151</v>
      </c>
      <c r="O5">
        <v>1522</v>
      </c>
    </row>
    <row r="6" spans="1:15" ht="21.75">
      <c r="A6" s="119"/>
      <c r="B6" s="3" t="s">
        <v>152</v>
      </c>
      <c r="C6" s="3">
        <v>0</v>
      </c>
      <c r="D6" s="3" t="s">
        <v>143</v>
      </c>
      <c r="E6" s="3" t="s">
        <v>152</v>
      </c>
      <c r="F6" s="3">
        <f>C6</f>
        <v>0</v>
      </c>
      <c r="G6" s="3" t="s">
        <v>150</v>
      </c>
      <c r="H6" s="3"/>
      <c r="I6" s="3"/>
      <c r="J6" s="120"/>
      <c r="K6" s="121"/>
      <c r="N6" t="s">
        <v>153</v>
      </c>
      <c r="O6">
        <v>1562</v>
      </c>
    </row>
    <row r="7" spans="1:15" ht="21.75">
      <c r="A7" s="119"/>
      <c r="B7" s="27" t="s">
        <v>154</v>
      </c>
      <c r="C7">
        <v>0</v>
      </c>
      <c r="D7" s="3" t="s">
        <v>150</v>
      </c>
      <c r="E7" s="27" t="s">
        <v>154</v>
      </c>
      <c r="F7">
        <f>C7</f>
        <v>0</v>
      </c>
      <c r="G7" s="3" t="s">
        <v>150</v>
      </c>
      <c r="H7" s="3"/>
      <c r="I7" s="3"/>
      <c r="J7" s="120"/>
      <c r="K7" s="121"/>
      <c r="N7" t="s">
        <v>155</v>
      </c>
      <c r="O7">
        <v>240</v>
      </c>
    </row>
    <row r="8" spans="1:11" ht="21.75">
      <c r="A8" s="119"/>
      <c r="B8" s="3" t="s">
        <v>156</v>
      </c>
      <c r="C8" s="3">
        <v>4</v>
      </c>
      <c r="D8" s="3" t="s">
        <v>120</v>
      </c>
      <c r="E8" s="3" t="s">
        <v>9</v>
      </c>
      <c r="F8" s="125">
        <f>SUM(F5:F7)</f>
        <v>244.4765625</v>
      </c>
      <c r="G8" s="3" t="s">
        <v>150</v>
      </c>
      <c r="H8" s="3"/>
      <c r="I8" s="3"/>
      <c r="J8" s="120"/>
      <c r="K8" s="121"/>
    </row>
    <row r="9" spans="1:15" ht="22.5" thickBot="1">
      <c r="A9" s="119"/>
      <c r="B9" s="3" t="s">
        <v>157</v>
      </c>
      <c r="C9" s="3">
        <v>1.5</v>
      </c>
      <c r="D9" s="3" t="s">
        <v>120</v>
      </c>
      <c r="E9" s="19" t="s">
        <v>156</v>
      </c>
      <c r="F9" s="3">
        <f>C8</f>
        <v>4</v>
      </c>
      <c r="G9" s="3" t="s">
        <v>120</v>
      </c>
      <c r="H9" s="3"/>
      <c r="I9" s="3"/>
      <c r="J9" s="120"/>
      <c r="K9" s="121"/>
      <c r="N9" t="s">
        <v>9</v>
      </c>
      <c r="O9">
        <f>SUM(O4:O8)</f>
        <v>4251</v>
      </c>
    </row>
    <row r="10" spans="1:11" ht="21.75">
      <c r="A10" s="119"/>
      <c r="B10" s="3"/>
      <c r="C10" s="3"/>
      <c r="D10" s="126"/>
      <c r="E10" s="127"/>
      <c r="F10" s="128"/>
      <c r="G10" s="3"/>
      <c r="H10" s="3"/>
      <c r="I10" s="3"/>
      <c r="J10" s="120"/>
      <c r="K10" s="121"/>
    </row>
    <row r="11" spans="1:11" ht="21.75">
      <c r="A11" s="119"/>
      <c r="B11" s="3"/>
      <c r="C11" s="3"/>
      <c r="D11" s="129"/>
      <c r="E11" s="130"/>
      <c r="F11" s="131"/>
      <c r="G11" s="3"/>
      <c r="H11" s="3"/>
      <c r="I11" s="3"/>
      <c r="J11" s="120"/>
      <c r="K11" s="121"/>
    </row>
    <row r="12" spans="1:11" ht="21.75">
      <c r="A12" s="119"/>
      <c r="B12" s="3"/>
      <c r="C12" s="3"/>
      <c r="D12" s="129"/>
      <c r="E12" s="130"/>
      <c r="F12" s="131"/>
      <c r="G12" s="3"/>
      <c r="H12" s="3"/>
      <c r="I12" s="3"/>
      <c r="J12" s="120"/>
      <c r="K12" s="121"/>
    </row>
    <row r="13" spans="1:11" ht="21.75">
      <c r="A13" s="119"/>
      <c r="B13" s="3"/>
      <c r="C13" s="3"/>
      <c r="D13" s="129"/>
      <c r="E13" s="130"/>
      <c r="F13" s="131"/>
      <c r="G13" s="3"/>
      <c r="H13" s="3"/>
      <c r="I13" s="3"/>
      <c r="J13" s="120"/>
      <c r="K13" s="121"/>
    </row>
    <row r="14" spans="1:11" ht="22.5" thickBot="1">
      <c r="A14" s="119"/>
      <c r="B14" s="19" t="s">
        <v>140</v>
      </c>
      <c r="C14" s="3">
        <f>C9</f>
        <v>1.5</v>
      </c>
      <c r="D14" s="132"/>
      <c r="E14" s="133"/>
      <c r="F14" s="134"/>
      <c r="G14" s="3"/>
      <c r="H14" s="3"/>
      <c r="I14" s="3"/>
      <c r="J14" s="120"/>
      <c r="K14" s="121"/>
    </row>
    <row r="15" spans="1:11" ht="21.75">
      <c r="A15" s="119"/>
      <c r="B15" s="3" t="s">
        <v>158</v>
      </c>
      <c r="C15" s="3">
        <f>C5*C9/3</f>
        <v>171</v>
      </c>
      <c r="D15" s="3" t="s">
        <v>150</v>
      </c>
      <c r="E15" s="3"/>
      <c r="F15" s="3"/>
      <c r="G15" s="3"/>
      <c r="H15" s="3"/>
      <c r="I15" s="3"/>
      <c r="J15" s="120"/>
      <c r="K15" s="121"/>
    </row>
    <row r="16" spans="1:11" ht="21.75">
      <c r="A16" s="119"/>
      <c r="B16" s="3" t="s">
        <v>152</v>
      </c>
      <c r="C16" s="3">
        <f>C6</f>
        <v>0</v>
      </c>
      <c r="D16" s="3" t="s">
        <v>150</v>
      </c>
      <c r="E16" s="3"/>
      <c r="F16" s="3"/>
      <c r="G16" s="3"/>
      <c r="H16" s="3"/>
      <c r="I16" s="3"/>
      <c r="J16" s="120"/>
      <c r="K16" s="121"/>
    </row>
    <row r="17" spans="1:11" ht="21.75">
      <c r="A17" s="119"/>
      <c r="B17" s="27" t="s">
        <v>154</v>
      </c>
      <c r="C17">
        <f>C7</f>
        <v>0</v>
      </c>
      <c r="D17" s="3" t="s">
        <v>150</v>
      </c>
      <c r="E17" s="3"/>
      <c r="F17" s="3"/>
      <c r="G17" s="3"/>
      <c r="H17" s="3"/>
      <c r="I17" s="3"/>
      <c r="J17" s="120"/>
      <c r="K17" s="121"/>
    </row>
    <row r="18" spans="1:11" ht="21.75">
      <c r="A18" s="119"/>
      <c r="B18" s="3" t="s">
        <v>9</v>
      </c>
      <c r="C18" s="135">
        <f>SUM(C15:C17)</f>
        <v>171</v>
      </c>
      <c r="D18" s="3" t="s">
        <v>150</v>
      </c>
      <c r="E18" s="3"/>
      <c r="F18" s="3"/>
      <c r="G18" s="3"/>
      <c r="H18" s="3"/>
      <c r="I18" s="3"/>
      <c r="J18" s="120"/>
      <c r="K18" s="121"/>
    </row>
    <row r="19" spans="1:11" ht="21.75">
      <c r="A19" s="119"/>
      <c r="B19" s="3"/>
      <c r="C19" s="3"/>
      <c r="D19" s="3"/>
      <c r="E19" s="3"/>
      <c r="F19" s="3"/>
      <c r="G19" s="3"/>
      <c r="H19" s="3"/>
      <c r="I19" s="3"/>
      <c r="J19" s="120"/>
      <c r="K19" s="121"/>
    </row>
    <row r="20" spans="1:11" ht="22.5" thickBot="1">
      <c r="A20" s="136"/>
      <c r="B20" s="137"/>
      <c r="C20" s="137"/>
      <c r="D20" s="137"/>
      <c r="E20" s="137"/>
      <c r="F20" s="137"/>
      <c r="G20" s="137"/>
      <c r="H20" s="137"/>
      <c r="I20" s="137"/>
      <c r="J20" s="138"/>
      <c r="K20" s="121"/>
    </row>
    <row r="21" spans="1:11" ht="22.5" thickBo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1"/>
    </row>
    <row r="22" spans="1:11" ht="21.75">
      <c r="A22" s="115" t="s">
        <v>159</v>
      </c>
      <c r="B22" s="116"/>
      <c r="C22" s="116"/>
      <c r="D22" s="116"/>
      <c r="E22" s="116"/>
      <c r="F22" s="116"/>
      <c r="G22" s="116"/>
      <c r="H22" s="116"/>
      <c r="I22" s="116"/>
      <c r="J22" s="117"/>
      <c r="K22" s="118"/>
    </row>
    <row r="23" spans="1:11" ht="21.75">
      <c r="A23" s="119"/>
      <c r="B23" s="3"/>
      <c r="C23" s="3"/>
      <c r="D23" s="3"/>
      <c r="E23" s="3"/>
      <c r="F23" s="3"/>
      <c r="G23" s="3"/>
      <c r="H23" s="3"/>
      <c r="I23" s="3"/>
      <c r="J23" s="120"/>
      <c r="K23" s="121"/>
    </row>
    <row r="24" spans="1:11" ht="21.75">
      <c r="A24" s="119" t="s">
        <v>145</v>
      </c>
      <c r="B24" s="122">
        <v>150</v>
      </c>
      <c r="C24" s="3" t="s">
        <v>143</v>
      </c>
      <c r="D24" s="19" t="s">
        <v>156</v>
      </c>
      <c r="E24" s="3">
        <f>B28</f>
        <v>1.5</v>
      </c>
      <c r="F24" s="3" t="s">
        <v>120</v>
      </c>
      <c r="G24" s="3"/>
      <c r="H24" s="3"/>
      <c r="I24" s="3"/>
      <c r="J24" s="120"/>
      <c r="K24" s="121"/>
    </row>
    <row r="25" spans="1:11" ht="22.5" thickBot="1">
      <c r="A25" s="119" t="s">
        <v>147</v>
      </c>
      <c r="B25" s="122">
        <v>192</v>
      </c>
      <c r="C25" s="3" t="s">
        <v>143</v>
      </c>
      <c r="D25" s="3"/>
      <c r="E25" s="3"/>
      <c r="F25" s="3"/>
      <c r="G25" s="3"/>
      <c r="H25" s="3"/>
      <c r="I25" s="3"/>
      <c r="J25" s="120"/>
      <c r="K25" s="121"/>
    </row>
    <row r="26" spans="1:11" ht="21.75">
      <c r="A26" s="119" t="s">
        <v>9</v>
      </c>
      <c r="B26" s="122">
        <f>SUM(B24:B25)</f>
        <v>342</v>
      </c>
      <c r="C26" s="3" t="s">
        <v>143</v>
      </c>
      <c r="D26" s="126"/>
      <c r="E26" s="127"/>
      <c r="F26" s="128"/>
      <c r="G26" s="3" t="s">
        <v>160</v>
      </c>
      <c r="H26" s="124">
        <f>B26*B28/2</f>
        <v>256.5</v>
      </c>
      <c r="I26" s="3" t="s">
        <v>150</v>
      </c>
      <c r="J26" s="120"/>
      <c r="K26" s="121"/>
    </row>
    <row r="27" spans="1:11" ht="21.75">
      <c r="A27" s="119"/>
      <c r="B27" s="3"/>
      <c r="C27" s="3"/>
      <c r="D27" s="129"/>
      <c r="E27" s="130"/>
      <c r="F27" s="131"/>
      <c r="G27" s="3" t="s">
        <v>152</v>
      </c>
      <c r="H27" s="3"/>
      <c r="I27" s="3" t="s">
        <v>150</v>
      </c>
      <c r="J27" s="120"/>
      <c r="K27" s="121"/>
    </row>
    <row r="28" spans="1:11" ht="21.75">
      <c r="A28" s="119" t="s">
        <v>156</v>
      </c>
      <c r="B28" s="3">
        <v>1.5</v>
      </c>
      <c r="C28" s="3" t="s">
        <v>120</v>
      </c>
      <c r="D28" s="129"/>
      <c r="E28" s="130"/>
      <c r="F28" s="131"/>
      <c r="G28" s="27" t="s">
        <v>154</v>
      </c>
      <c r="H28" s="3"/>
      <c r="I28" s="3" t="s">
        <v>150</v>
      </c>
      <c r="J28" s="120"/>
      <c r="K28" s="121"/>
    </row>
    <row r="29" spans="1:11" ht="21.75">
      <c r="A29" s="119" t="s">
        <v>157</v>
      </c>
      <c r="B29" s="3"/>
      <c r="C29" s="3" t="s">
        <v>120</v>
      </c>
      <c r="D29" s="129"/>
      <c r="E29" s="130"/>
      <c r="F29" s="131"/>
      <c r="G29" s="3" t="s">
        <v>9</v>
      </c>
      <c r="H29" s="142">
        <f>SUM(H26:H28)</f>
        <v>256.5</v>
      </c>
      <c r="I29" s="3" t="s">
        <v>150</v>
      </c>
      <c r="J29" s="120"/>
      <c r="K29" s="121"/>
    </row>
    <row r="30" spans="1:11" ht="22.5" thickBot="1">
      <c r="A30" s="119"/>
      <c r="B30" s="19" t="s">
        <v>140</v>
      </c>
      <c r="C30" s="27">
        <f>B29</f>
        <v>0</v>
      </c>
      <c r="D30" s="132"/>
      <c r="E30" s="133"/>
      <c r="F30" s="134"/>
      <c r="G30" s="3"/>
      <c r="H30" s="3"/>
      <c r="I30" s="3"/>
      <c r="J30" s="120"/>
      <c r="K30" s="121"/>
    </row>
    <row r="31" spans="1:11" ht="21.75">
      <c r="A31" s="119"/>
      <c r="B31" s="3" t="s">
        <v>161</v>
      </c>
      <c r="C31" s="3"/>
      <c r="D31" s="3" t="s">
        <v>150</v>
      </c>
      <c r="E31" s="3"/>
      <c r="F31" s="3"/>
      <c r="G31" s="3"/>
      <c r="H31" s="3"/>
      <c r="I31" s="3"/>
      <c r="J31" s="120"/>
      <c r="K31" s="121"/>
    </row>
    <row r="32" spans="1:11" ht="21.75">
      <c r="A32" s="119"/>
      <c r="B32" s="3" t="s">
        <v>152</v>
      </c>
      <c r="C32" s="3"/>
      <c r="D32" s="3" t="s">
        <v>150</v>
      </c>
      <c r="E32" s="3"/>
      <c r="F32" s="3"/>
      <c r="G32" s="3"/>
      <c r="H32" s="3"/>
      <c r="I32" s="3"/>
      <c r="J32" s="120"/>
      <c r="K32" s="121"/>
    </row>
    <row r="33" spans="1:11" ht="21.75">
      <c r="A33" s="119"/>
      <c r="B33" s="27" t="s">
        <v>154</v>
      </c>
      <c r="C33" s="3"/>
      <c r="D33" s="3" t="s">
        <v>150</v>
      </c>
      <c r="E33" s="3"/>
      <c r="F33" s="3"/>
      <c r="G33" s="3"/>
      <c r="H33" s="3"/>
      <c r="I33" s="3"/>
      <c r="J33" s="120"/>
      <c r="K33" s="121"/>
    </row>
    <row r="34" spans="1:11" ht="21.75">
      <c r="A34" s="119"/>
      <c r="B34" s="3" t="s">
        <v>9</v>
      </c>
      <c r="C34" s="3"/>
      <c r="D34" s="3" t="s">
        <v>150</v>
      </c>
      <c r="E34" s="3"/>
      <c r="F34" s="3"/>
      <c r="G34" s="3"/>
      <c r="H34" s="3"/>
      <c r="I34" s="3"/>
      <c r="J34" s="120"/>
      <c r="K34" s="121"/>
    </row>
    <row r="35" spans="1:11" ht="22.5" thickBot="1">
      <c r="A35" s="136"/>
      <c r="B35" s="137"/>
      <c r="C35" s="137"/>
      <c r="D35" s="137"/>
      <c r="E35" s="137"/>
      <c r="F35" s="137"/>
      <c r="G35" s="137"/>
      <c r="H35" s="137"/>
      <c r="I35" s="137"/>
      <c r="J35" s="138"/>
      <c r="K35" s="121"/>
    </row>
    <row r="36" spans="1:11" ht="22.5" thickBo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1"/>
    </row>
    <row r="37" spans="1:11" ht="21.75">
      <c r="A37" s="115"/>
      <c r="B37" s="116"/>
      <c r="C37" s="116"/>
      <c r="D37" s="116"/>
      <c r="E37" s="116"/>
      <c r="F37" s="116"/>
      <c r="G37" s="116"/>
      <c r="H37" s="116"/>
      <c r="I37" s="116"/>
      <c r="J37" s="117"/>
      <c r="K37" s="118"/>
    </row>
    <row r="38" spans="1:11" ht="21.75">
      <c r="A38" s="119" t="s">
        <v>162</v>
      </c>
      <c r="B38" s="3" t="s">
        <v>156</v>
      </c>
      <c r="C38" s="3">
        <v>1.5</v>
      </c>
      <c r="D38" s="3"/>
      <c r="E38" s="3"/>
      <c r="F38" s="3"/>
      <c r="G38" s="3"/>
      <c r="H38" s="3"/>
      <c r="I38" s="3"/>
      <c r="J38" s="120"/>
      <c r="K38" s="121"/>
    </row>
    <row r="39" spans="1:11" ht="21.75">
      <c r="A39" s="119"/>
      <c r="B39" s="3" t="s">
        <v>137</v>
      </c>
      <c r="C39" s="122">
        <v>0.185</v>
      </c>
      <c r="D39" s="3"/>
      <c r="E39" s="3"/>
      <c r="F39" s="3"/>
      <c r="G39" s="3"/>
      <c r="H39" s="3"/>
      <c r="I39" s="3"/>
      <c r="J39" s="120"/>
      <c r="K39" s="121"/>
    </row>
    <row r="40" spans="1:11" ht="21.75">
      <c r="A40" s="119"/>
      <c r="B40" s="3" t="s">
        <v>138</v>
      </c>
      <c r="C40" s="122">
        <v>0.25</v>
      </c>
      <c r="D40" s="3"/>
      <c r="E40" s="3"/>
      <c r="F40" s="3"/>
      <c r="G40" s="3"/>
      <c r="H40" s="3"/>
      <c r="I40" s="3"/>
      <c r="J40" s="120"/>
      <c r="K40" s="121"/>
    </row>
    <row r="41" spans="1:11" ht="21.75">
      <c r="A41" s="119"/>
      <c r="B41" s="3" t="s">
        <v>141</v>
      </c>
      <c r="C41" s="122">
        <v>0.13</v>
      </c>
      <c r="D41" s="3"/>
      <c r="E41" s="3"/>
      <c r="F41" s="3"/>
      <c r="G41" s="3"/>
      <c r="H41" s="3"/>
      <c r="I41" s="3"/>
      <c r="J41" s="120"/>
      <c r="K41" s="121"/>
    </row>
    <row r="42" spans="1:11" ht="21.75">
      <c r="A42" s="119"/>
      <c r="B42" s="3" t="s">
        <v>139</v>
      </c>
      <c r="C42" s="3">
        <f>C39/C40</f>
        <v>0.74</v>
      </c>
      <c r="D42" s="3"/>
      <c r="E42" s="3"/>
      <c r="F42" s="3"/>
      <c r="G42" s="3"/>
      <c r="H42" s="3"/>
      <c r="I42" s="3"/>
      <c r="J42" s="120"/>
      <c r="K42" s="121"/>
    </row>
    <row r="43" spans="1:11" ht="21.75">
      <c r="A43" s="119"/>
      <c r="B43" s="3" t="s">
        <v>163</v>
      </c>
      <c r="C43" s="142">
        <f>1200*(1+(0.025/C40))*C39+2400*C41*SQRT(1+(C42*C42))</f>
        <v>632.3360256404962</v>
      </c>
      <c r="D43" s="3"/>
      <c r="E43" s="3"/>
      <c r="F43" s="3"/>
      <c r="G43" s="3"/>
      <c r="H43" s="3"/>
      <c r="I43" s="3"/>
      <c r="J43" s="120"/>
      <c r="K43" s="121"/>
    </row>
    <row r="44" spans="1:11" ht="21.75">
      <c r="A44" s="119"/>
      <c r="B44" s="27" t="s">
        <v>163</v>
      </c>
      <c r="C44" s="142">
        <f>300+C43</f>
        <v>932.3360256404962</v>
      </c>
      <c r="D44" s="3" t="s">
        <v>136</v>
      </c>
      <c r="E44" s="3"/>
      <c r="F44" s="3"/>
      <c r="G44" s="3"/>
      <c r="H44" s="3"/>
      <c r="I44" s="3"/>
      <c r="J44" s="120"/>
      <c r="K44" s="121"/>
    </row>
    <row r="45" spans="1:11" ht="22.5" thickBot="1">
      <c r="A45" s="136"/>
      <c r="B45" s="137" t="s">
        <v>163</v>
      </c>
      <c r="C45" s="143">
        <f>C44*C38/2</f>
        <v>699.2520192303722</v>
      </c>
      <c r="D45" s="137" t="s">
        <v>118</v>
      </c>
      <c r="E45" s="137"/>
      <c r="F45" s="137"/>
      <c r="G45" s="137"/>
      <c r="H45" s="137"/>
      <c r="I45" s="137"/>
      <c r="J45" s="138"/>
      <c r="K45" s="121"/>
    </row>
    <row r="46" spans="1:11" ht="22.5" thickBot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D8" sqref="D8:H8"/>
    </sheetView>
  </sheetViews>
  <sheetFormatPr defaultColWidth="9.140625" defaultRowHeight="21.75"/>
  <cols>
    <col min="1" max="1" width="38.7109375" style="17" customWidth="1"/>
    <col min="2" max="2" width="9.140625" style="3" customWidth="1"/>
    <col min="3" max="3" width="9.140625" style="151" customWidth="1"/>
    <col min="4" max="4" width="9.140625" style="3" customWidth="1"/>
    <col min="5" max="5" width="9.140625" style="152" customWidth="1"/>
    <col min="6" max="6" width="9.140625" style="153" customWidth="1"/>
    <col min="7" max="7" width="9.140625" style="152" customWidth="1"/>
    <col min="8" max="9" width="9.140625" style="153" customWidth="1"/>
    <col min="10" max="16384" width="9.140625" style="3" customWidth="1"/>
  </cols>
  <sheetData>
    <row r="2" ht="31.5">
      <c r="D2" s="156" t="s">
        <v>133</v>
      </c>
    </row>
    <row r="3" spans="1:12" ht="51.75" customHeight="1">
      <c r="A3" s="203" t="s">
        <v>258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40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47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41.25" customHeight="1">
      <c r="A6" s="206" t="s">
        <v>177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40.5" customHeight="1">
      <c r="A7" s="3"/>
      <c r="B7" s="157"/>
      <c r="C7" s="157"/>
      <c r="D7" s="200"/>
      <c r="E7" s="200"/>
      <c r="F7" s="200"/>
      <c r="G7" s="200"/>
      <c r="H7" s="200"/>
      <c r="I7" s="157"/>
      <c r="J7" s="157"/>
      <c r="K7" s="157"/>
      <c r="L7" s="157"/>
    </row>
    <row r="8" spans="1:12" ht="38.25" customHeight="1">
      <c r="A8" s="3"/>
      <c r="B8" s="158"/>
      <c r="C8" s="158"/>
      <c r="D8" s="201"/>
      <c r="E8" s="201"/>
      <c r="F8" s="201"/>
      <c r="G8" s="201"/>
      <c r="H8" s="201"/>
      <c r="I8" s="158"/>
      <c r="J8" s="158"/>
      <c r="K8" s="158"/>
      <c r="L8" s="149"/>
    </row>
    <row r="9" spans="1:12" ht="38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150"/>
    </row>
    <row r="10" ht="45.75" customHeight="1"/>
    <row r="11" ht="21.75">
      <c r="G11" s="154" t="s">
        <v>180</v>
      </c>
    </row>
    <row r="12" spans="9:12" ht="21.75">
      <c r="I12" s="199" t="s">
        <v>178</v>
      </c>
      <c r="J12" s="199"/>
      <c r="K12" s="199"/>
      <c r="L12" s="155"/>
    </row>
    <row r="13" spans="9:11" ht="21.75">
      <c r="I13" s="199" t="s">
        <v>179</v>
      </c>
      <c r="J13" s="199"/>
      <c r="K13" s="199"/>
    </row>
  </sheetData>
  <sheetProtection/>
  <mergeCells count="9">
    <mergeCell ref="I13:K13"/>
    <mergeCell ref="D7:H7"/>
    <mergeCell ref="D8:H8"/>
    <mergeCell ref="A9:K9"/>
    <mergeCell ref="I12:K12"/>
    <mergeCell ref="A3:L3"/>
    <mergeCell ref="A4:L4"/>
    <mergeCell ref="A5:L5"/>
    <mergeCell ref="A6:L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4"/>
  <sheetViews>
    <sheetView zoomScalePageLayoutView="0" workbookViewId="0" topLeftCell="A1">
      <selection activeCell="J24" sqref="J24"/>
    </sheetView>
  </sheetViews>
  <sheetFormatPr defaultColWidth="4.421875" defaultRowHeight="12.75" customHeight="1"/>
  <cols>
    <col min="1" max="1" width="8.28125" style="161" customWidth="1"/>
    <col min="2" max="8" width="9.8515625" style="161" customWidth="1"/>
    <col min="9" max="9" width="8.00390625" style="161" customWidth="1"/>
    <col min="10" max="11" width="11.140625" style="161" customWidth="1"/>
    <col min="12" max="16384" width="4.421875" style="161" customWidth="1"/>
  </cols>
  <sheetData>
    <row r="1" spans="2:10" ht="12.75" customHeight="1">
      <c r="B1" s="113"/>
      <c r="C1" s="113"/>
      <c r="D1" s="113"/>
      <c r="E1" s="113"/>
      <c r="F1" s="113"/>
      <c r="G1" s="113"/>
      <c r="H1" s="113"/>
      <c r="I1" s="113"/>
      <c r="J1" s="113"/>
    </row>
    <row r="2" spans="2:10" ht="12.75" customHeight="1">
      <c r="B2" s="113"/>
      <c r="C2" s="113"/>
      <c r="D2" s="113"/>
      <c r="E2" s="113"/>
      <c r="F2" s="113"/>
      <c r="G2" s="113"/>
      <c r="H2" s="113"/>
      <c r="I2" s="113"/>
      <c r="J2" s="113"/>
    </row>
    <row r="3" spans="2:10" ht="12.75" customHeight="1">
      <c r="B3" s="113"/>
      <c r="C3" s="113"/>
      <c r="D3" s="113" t="s">
        <v>182</v>
      </c>
      <c r="E3" s="113"/>
      <c r="F3" s="113"/>
      <c r="G3" s="113"/>
      <c r="H3" s="113"/>
      <c r="I3" s="113"/>
      <c r="J3" s="113"/>
    </row>
    <row r="4" spans="2:10" ht="12.75" customHeight="1">
      <c r="B4" s="113"/>
      <c r="C4" s="113"/>
      <c r="D4" s="113"/>
      <c r="E4" s="113"/>
      <c r="F4" s="113"/>
      <c r="G4" s="113"/>
      <c r="H4" s="113"/>
      <c r="I4" s="113"/>
      <c r="J4" s="113"/>
    </row>
    <row r="5" spans="2:10" ht="12.75" customHeight="1">
      <c r="B5" s="113" t="s">
        <v>183</v>
      </c>
      <c r="C5" s="113"/>
      <c r="D5" s="113"/>
      <c r="E5" s="113"/>
      <c r="F5" s="113"/>
      <c r="G5" s="113"/>
      <c r="H5" s="113"/>
      <c r="I5" s="113"/>
      <c r="J5" s="113"/>
    </row>
    <row r="6" spans="2:10" ht="12.75" customHeight="1">
      <c r="B6" s="113" t="s">
        <v>184</v>
      </c>
      <c r="C6" s="113"/>
      <c r="D6" s="113"/>
      <c r="E6" s="113"/>
      <c r="F6" s="113"/>
      <c r="G6" s="113"/>
      <c r="H6" s="113"/>
      <c r="I6" s="113"/>
      <c r="J6" s="113"/>
    </row>
    <row r="7" spans="2:10" ht="12.75" customHeight="1">
      <c r="B7" s="113"/>
      <c r="C7" s="113"/>
      <c r="D7" s="113"/>
      <c r="E7" s="113"/>
      <c r="F7" s="113"/>
      <c r="G7" s="113"/>
      <c r="H7" s="113"/>
      <c r="I7" s="113"/>
      <c r="J7" s="113"/>
    </row>
    <row r="8" spans="2:10" ht="12.75" customHeight="1">
      <c r="B8" s="113" t="s">
        <v>185</v>
      </c>
      <c r="C8" s="113"/>
      <c r="D8" s="113"/>
      <c r="E8" s="113"/>
      <c r="F8" s="113"/>
      <c r="G8" s="113"/>
      <c r="H8" s="113"/>
      <c r="I8" s="113"/>
      <c r="J8" s="113"/>
    </row>
    <row r="9" spans="2:10" ht="12.75" customHeight="1">
      <c r="B9" s="113">
        <v>1</v>
      </c>
      <c r="C9" s="113" t="s">
        <v>186</v>
      </c>
      <c r="D9" s="113"/>
      <c r="E9" s="113"/>
      <c r="F9" s="207">
        <v>240</v>
      </c>
      <c r="G9" s="207"/>
      <c r="H9" s="159" t="s">
        <v>142</v>
      </c>
      <c r="I9" s="113"/>
      <c r="J9" s="113"/>
    </row>
    <row r="10" spans="2:10" ht="12.75" customHeight="1">
      <c r="B10" s="113">
        <v>2</v>
      </c>
      <c r="C10" s="113" t="s">
        <v>187</v>
      </c>
      <c r="D10" s="113"/>
      <c r="E10" s="113"/>
      <c r="F10" s="208">
        <v>65</v>
      </c>
      <c r="G10" s="208"/>
      <c r="H10" s="159" t="s">
        <v>142</v>
      </c>
      <c r="I10" s="113"/>
      <c r="J10" s="113"/>
    </row>
    <row r="11" spans="2:10" ht="12.75" customHeight="1">
      <c r="B11" s="113"/>
      <c r="C11" s="113"/>
      <c r="D11" s="113"/>
      <c r="E11" s="113"/>
      <c r="F11" s="113"/>
      <c r="G11" s="113"/>
      <c r="H11" s="113"/>
      <c r="I11" s="113"/>
      <c r="J11" s="113"/>
    </row>
    <row r="12" spans="2:10" ht="12.75" customHeight="1">
      <c r="B12" s="113" t="s">
        <v>188</v>
      </c>
      <c r="C12" s="113"/>
      <c r="D12" s="113"/>
      <c r="E12" s="113"/>
      <c r="F12" s="113"/>
      <c r="G12" s="113"/>
      <c r="H12" s="113"/>
      <c r="I12" s="113"/>
      <c r="J12" s="113"/>
    </row>
    <row r="13" spans="2:10" ht="12.75" customHeight="1">
      <c r="B13" s="113"/>
      <c r="C13" s="113" t="s">
        <v>189</v>
      </c>
      <c r="D13" s="113"/>
      <c r="E13" s="113"/>
      <c r="F13" s="113"/>
      <c r="G13" s="113"/>
      <c r="H13" s="113"/>
      <c r="I13" s="113"/>
      <c r="J13" s="113"/>
    </row>
    <row r="14" spans="2:10" ht="12.75" customHeight="1">
      <c r="B14" s="113">
        <v>1</v>
      </c>
      <c r="C14" s="113" t="s">
        <v>190</v>
      </c>
      <c r="D14" s="113"/>
      <c r="E14" s="113"/>
      <c r="F14" s="209">
        <v>2400</v>
      </c>
      <c r="G14" s="209"/>
      <c r="H14" s="159" t="s">
        <v>142</v>
      </c>
      <c r="I14" s="113"/>
      <c r="J14" s="113"/>
    </row>
    <row r="15" spans="2:21" ht="12.75" customHeight="1">
      <c r="B15" s="113">
        <v>2</v>
      </c>
      <c r="C15" s="113" t="s">
        <v>191</v>
      </c>
      <c r="D15" s="113"/>
      <c r="E15" s="113"/>
      <c r="F15" s="209">
        <v>1440</v>
      </c>
      <c r="G15" s="209"/>
      <c r="H15" s="159" t="s">
        <v>142</v>
      </c>
      <c r="I15" s="113"/>
      <c r="J15" s="114"/>
      <c r="K15" s="210"/>
      <c r="L15" s="210"/>
      <c r="M15" s="162"/>
      <c r="N15" s="162"/>
      <c r="O15" s="211"/>
      <c r="P15" s="211"/>
      <c r="Q15" s="212"/>
      <c r="R15" s="212"/>
      <c r="S15" s="212"/>
      <c r="T15" s="212"/>
      <c r="U15" s="162"/>
    </row>
    <row r="16" spans="2:21" ht="12.75" customHeight="1">
      <c r="B16" s="113"/>
      <c r="C16" s="113" t="s">
        <v>192</v>
      </c>
      <c r="D16" s="113"/>
      <c r="E16" s="113"/>
      <c r="F16" s="113"/>
      <c r="G16" s="113"/>
      <c r="H16" s="113"/>
      <c r="I16" s="113"/>
      <c r="J16" s="114"/>
      <c r="K16" s="210"/>
      <c r="L16" s="210"/>
      <c r="M16" s="210"/>
      <c r="N16" s="210"/>
      <c r="O16" s="211"/>
      <c r="P16" s="211"/>
      <c r="Q16" s="212"/>
      <c r="R16" s="212"/>
      <c r="S16" s="212"/>
      <c r="T16" s="212"/>
      <c r="U16" s="162"/>
    </row>
    <row r="17" spans="2:10" ht="12.75" customHeight="1">
      <c r="B17" s="113">
        <v>1</v>
      </c>
      <c r="C17" s="113" t="s">
        <v>190</v>
      </c>
      <c r="D17" s="113"/>
      <c r="E17" s="113"/>
      <c r="F17" s="209">
        <v>2200</v>
      </c>
      <c r="G17" s="209"/>
      <c r="H17" s="159" t="s">
        <v>142</v>
      </c>
      <c r="I17" s="113"/>
      <c r="J17" s="113"/>
    </row>
    <row r="18" spans="2:10" ht="12.75" customHeight="1">
      <c r="B18" s="113">
        <v>2</v>
      </c>
      <c r="C18" s="113" t="s">
        <v>191</v>
      </c>
      <c r="D18" s="113"/>
      <c r="E18" s="113"/>
      <c r="F18" s="209">
        <v>1320</v>
      </c>
      <c r="G18" s="209"/>
      <c r="H18" s="159" t="s">
        <v>142</v>
      </c>
      <c r="I18" s="113"/>
      <c r="J18" s="113"/>
    </row>
    <row r="19" spans="2:10" ht="12.75" customHeight="1">
      <c r="B19" s="113"/>
      <c r="C19" s="113"/>
      <c r="D19" s="113"/>
      <c r="E19" s="113"/>
      <c r="F19" s="113"/>
      <c r="G19" s="113"/>
      <c r="H19" s="113"/>
      <c r="I19" s="113"/>
      <c r="J19" s="113"/>
    </row>
    <row r="20" spans="2:10" ht="12.75" customHeight="1">
      <c r="B20" s="113" t="s">
        <v>193</v>
      </c>
      <c r="C20" s="113"/>
      <c r="D20" s="113"/>
      <c r="E20" s="113"/>
      <c r="F20" s="113"/>
      <c r="G20" s="113"/>
      <c r="H20" s="113"/>
      <c r="I20" s="113"/>
      <c r="J20" s="113"/>
    </row>
    <row r="21" spans="2:10" ht="12.75" customHeight="1">
      <c r="B21" s="113"/>
      <c r="C21" s="113"/>
      <c r="D21" s="209" t="s">
        <v>194</v>
      </c>
      <c r="E21" s="209"/>
      <c r="F21" s="209" t="s">
        <v>195</v>
      </c>
      <c r="G21" s="209"/>
      <c r="H21" s="113"/>
      <c r="I21" s="113"/>
      <c r="J21" s="113"/>
    </row>
    <row r="22" spans="2:10" ht="12.75" customHeight="1">
      <c r="B22" s="113"/>
      <c r="C22" s="113" t="s">
        <v>196</v>
      </c>
      <c r="D22" s="209">
        <v>3000</v>
      </c>
      <c r="E22" s="209"/>
      <c r="F22" s="209">
        <v>2400</v>
      </c>
      <c r="G22" s="209"/>
      <c r="H22" s="159" t="s">
        <v>142</v>
      </c>
      <c r="I22" s="113"/>
      <c r="J22" s="113"/>
    </row>
    <row r="23" spans="2:10" ht="12.75" customHeight="1">
      <c r="B23" s="113"/>
      <c r="C23" s="113" t="s">
        <v>197</v>
      </c>
      <c r="D23" s="209">
        <v>1500</v>
      </c>
      <c r="E23" s="209"/>
      <c r="F23" s="209">
        <v>1200</v>
      </c>
      <c r="G23" s="209"/>
      <c r="H23" s="159" t="s">
        <v>142</v>
      </c>
      <c r="I23" s="113"/>
      <c r="J23" s="113"/>
    </row>
    <row r="24" spans="2:10" ht="12.75" customHeight="1">
      <c r="B24" s="113"/>
      <c r="C24" s="113" t="s">
        <v>198</v>
      </c>
      <c r="D24" s="208">
        <f>2100000/(4270*POWER(2.4,1.5)*SQRT(F9))</f>
        <v>8.53825136612022</v>
      </c>
      <c r="E24" s="208"/>
      <c r="F24" s="213">
        <f>2100000/(4270*POWER(2.4,1.5)*SQRT(F9))</f>
        <v>8.53825136612022</v>
      </c>
      <c r="G24" s="213"/>
      <c r="H24" s="113"/>
      <c r="I24" s="113"/>
      <c r="J24" s="113"/>
    </row>
    <row r="25" spans="2:10" ht="12.75" customHeight="1">
      <c r="B25" s="113"/>
      <c r="C25" s="113" t="s">
        <v>199</v>
      </c>
      <c r="D25" s="214">
        <f>1/(1+(D23/(D24*0.375*F9)))</f>
        <v>0.33875338753387535</v>
      </c>
      <c r="E25" s="214"/>
      <c r="F25" s="215">
        <f>1/(1+(F23/(F24*0.375*F9)))</f>
        <v>0.39038101186758273</v>
      </c>
      <c r="G25" s="215"/>
      <c r="H25" s="113"/>
      <c r="I25" s="113"/>
      <c r="J25" s="113"/>
    </row>
    <row r="26" spans="2:10" ht="12.75" customHeight="1">
      <c r="B26" s="113"/>
      <c r="C26" s="113" t="s">
        <v>200</v>
      </c>
      <c r="D26" s="214">
        <f>1-D25/3</f>
        <v>0.8870822041553749</v>
      </c>
      <c r="E26" s="214"/>
      <c r="F26" s="214">
        <f>1-F25/3</f>
        <v>0.8698729960441391</v>
      </c>
      <c r="G26" s="214"/>
      <c r="H26" s="113"/>
      <c r="I26" s="113"/>
      <c r="J26" s="113"/>
    </row>
    <row r="27" spans="2:10" ht="12.75" customHeight="1">
      <c r="B27" s="113"/>
      <c r="C27" s="113" t="s">
        <v>164</v>
      </c>
      <c r="D27" s="216">
        <f>0.5*0.375*F9*D25*D26</f>
        <v>13.522594575539252</v>
      </c>
      <c r="E27" s="216"/>
      <c r="F27" s="216">
        <f>0.5*0.375*F9*F25*F26</f>
        <v>15.281185517639859</v>
      </c>
      <c r="G27" s="216"/>
      <c r="H27" s="159" t="s">
        <v>142</v>
      </c>
      <c r="I27" s="113"/>
      <c r="J27" s="113"/>
    </row>
    <row r="28" spans="2:10" ht="12.75" customHeight="1">
      <c r="B28" s="113"/>
      <c r="C28" s="113"/>
      <c r="D28" s="113"/>
      <c r="E28" s="113"/>
      <c r="F28" s="113"/>
      <c r="G28" s="113"/>
      <c r="H28" s="113"/>
      <c r="I28" s="113"/>
      <c r="J28" s="113"/>
    </row>
    <row r="29" spans="2:10" ht="12.75" customHeight="1">
      <c r="B29" s="113" t="s">
        <v>201</v>
      </c>
      <c r="C29" s="113" t="s">
        <v>202</v>
      </c>
      <c r="D29" s="113"/>
      <c r="E29" s="113"/>
      <c r="F29" s="209">
        <v>120</v>
      </c>
      <c r="G29" s="209"/>
      <c r="H29" s="159" t="s">
        <v>142</v>
      </c>
      <c r="I29" s="113"/>
      <c r="J29" s="113"/>
    </row>
    <row r="30" spans="2:10" ht="12.75" customHeight="1">
      <c r="B30" s="113"/>
      <c r="C30" s="113"/>
      <c r="D30" s="113"/>
      <c r="E30" s="113"/>
      <c r="F30" s="113"/>
      <c r="G30" s="113"/>
      <c r="H30" s="113"/>
      <c r="I30" s="113"/>
      <c r="J30" s="113"/>
    </row>
    <row r="31" spans="2:10" ht="12.75" customHeight="1">
      <c r="B31" s="113" t="s">
        <v>203</v>
      </c>
      <c r="C31" s="113"/>
      <c r="D31" s="113" t="s">
        <v>204</v>
      </c>
      <c r="E31" s="113"/>
      <c r="F31" s="209">
        <v>150</v>
      </c>
      <c r="G31" s="209"/>
      <c r="H31" s="159" t="s">
        <v>142</v>
      </c>
      <c r="I31" s="113"/>
      <c r="J31" s="113"/>
    </row>
    <row r="32" spans="2:10" ht="12.75" customHeight="1">
      <c r="B32" s="113"/>
      <c r="C32" s="113"/>
      <c r="D32" s="113" t="s">
        <v>205</v>
      </c>
      <c r="E32" s="113"/>
      <c r="F32" s="209">
        <v>30</v>
      </c>
      <c r="G32" s="209"/>
      <c r="H32" s="159" t="s">
        <v>142</v>
      </c>
      <c r="I32" s="113"/>
      <c r="J32" s="113"/>
    </row>
    <row r="33" spans="2:10" ht="12.75" customHeight="1">
      <c r="B33" s="113"/>
      <c r="C33" s="113"/>
      <c r="D33" s="113" t="s">
        <v>206</v>
      </c>
      <c r="E33" s="113"/>
      <c r="F33" s="209">
        <v>300</v>
      </c>
      <c r="G33" s="209"/>
      <c r="H33" s="159" t="s">
        <v>142</v>
      </c>
      <c r="I33" s="113"/>
      <c r="J33" s="113"/>
    </row>
    <row r="34" spans="2:10" ht="12.75" customHeight="1">
      <c r="B34" s="113" t="s">
        <v>207</v>
      </c>
      <c r="C34" s="113"/>
      <c r="D34" s="113" t="s">
        <v>206</v>
      </c>
      <c r="E34" s="113"/>
      <c r="F34" s="209">
        <v>240</v>
      </c>
      <c r="G34" s="209"/>
      <c r="H34" s="159" t="s">
        <v>142</v>
      </c>
      <c r="I34" s="113"/>
      <c r="J34" s="113"/>
    </row>
    <row r="35" spans="2:10" ht="12.75" customHeight="1">
      <c r="B35" s="113"/>
      <c r="C35" s="113"/>
      <c r="D35" s="113" t="s">
        <v>205</v>
      </c>
      <c r="E35" s="113"/>
      <c r="F35" s="209">
        <v>5</v>
      </c>
      <c r="G35" s="209"/>
      <c r="H35" s="159" t="s">
        <v>142</v>
      </c>
      <c r="I35" s="113"/>
      <c r="J35" s="113"/>
    </row>
    <row r="36" spans="2:10" ht="12.75" customHeight="1">
      <c r="B36" s="113"/>
      <c r="C36" s="113"/>
      <c r="D36" s="113"/>
      <c r="E36" s="113"/>
      <c r="F36" s="159"/>
      <c r="G36" s="159"/>
      <c r="H36" s="159"/>
      <c r="I36" s="113"/>
      <c r="J36" s="113"/>
    </row>
    <row r="37" spans="2:10" ht="12.75" customHeight="1">
      <c r="B37" s="113"/>
      <c r="C37" s="113"/>
      <c r="D37" s="113"/>
      <c r="E37" s="113"/>
      <c r="F37" s="209"/>
      <c r="G37" s="209"/>
      <c r="H37" s="159"/>
      <c r="I37" s="113"/>
      <c r="J37" s="113"/>
    </row>
    <row r="38" spans="2:10" ht="12.75" customHeight="1">
      <c r="B38" s="113"/>
      <c r="C38" s="113"/>
      <c r="D38" s="113"/>
      <c r="E38" s="113"/>
      <c r="F38" s="113"/>
      <c r="G38" s="113"/>
      <c r="H38" s="113"/>
      <c r="I38" s="113"/>
      <c r="J38" s="113"/>
    </row>
    <row r="39" spans="2:10" ht="12.75" customHeight="1">
      <c r="B39" s="113"/>
      <c r="C39" s="113" t="s">
        <v>208</v>
      </c>
      <c r="D39" s="113"/>
      <c r="E39" s="113"/>
      <c r="F39" s="113"/>
      <c r="G39" s="113"/>
      <c r="H39" s="113"/>
      <c r="I39" s="113"/>
      <c r="J39" s="113"/>
    </row>
    <row r="40" spans="2:10" ht="12.75" customHeight="1">
      <c r="B40" s="209" t="s">
        <v>209</v>
      </c>
      <c r="C40" s="209"/>
      <c r="D40" s="209"/>
      <c r="E40" s="209"/>
      <c r="F40" s="160"/>
      <c r="G40" s="113"/>
      <c r="H40" s="160"/>
      <c r="I40" s="113"/>
      <c r="J40" s="113"/>
    </row>
    <row r="41" spans="2:10" ht="12.75" customHeight="1">
      <c r="B41" s="113">
        <v>1</v>
      </c>
      <c r="C41" s="113" t="s">
        <v>210</v>
      </c>
      <c r="D41" s="113"/>
      <c r="E41" s="113"/>
      <c r="F41" s="209">
        <v>180</v>
      </c>
      <c r="G41" s="209"/>
      <c r="H41" s="159" t="s">
        <v>136</v>
      </c>
      <c r="I41" s="113"/>
      <c r="J41" s="113"/>
    </row>
    <row r="42" spans="2:10" ht="12.75" customHeight="1">
      <c r="B42" s="113">
        <v>2</v>
      </c>
      <c r="C42" s="113" t="s">
        <v>211</v>
      </c>
      <c r="D42" s="113"/>
      <c r="E42" s="113"/>
      <c r="F42" s="209">
        <v>360</v>
      </c>
      <c r="G42" s="209"/>
      <c r="H42" s="159" t="s">
        <v>136</v>
      </c>
      <c r="I42" s="113"/>
      <c r="J42" s="113"/>
    </row>
    <row r="43" spans="2:10" ht="12.75" customHeight="1">
      <c r="B43" s="113">
        <v>3</v>
      </c>
      <c r="C43" s="113" t="s">
        <v>212</v>
      </c>
      <c r="D43" s="113"/>
      <c r="E43" s="113"/>
      <c r="F43" s="209">
        <v>120</v>
      </c>
      <c r="G43" s="209"/>
      <c r="H43" s="159" t="s">
        <v>136</v>
      </c>
      <c r="I43" s="113"/>
      <c r="J43" s="113"/>
    </row>
    <row r="44" spans="2:10" ht="12.75" customHeight="1">
      <c r="B44" s="113">
        <v>4</v>
      </c>
      <c r="C44" s="113" t="s">
        <v>213</v>
      </c>
      <c r="D44" s="113"/>
      <c r="E44" s="113"/>
      <c r="F44" s="209">
        <v>160</v>
      </c>
      <c r="G44" s="209"/>
      <c r="H44" s="159" t="s">
        <v>136</v>
      </c>
      <c r="I44" s="113"/>
      <c r="J44" s="113"/>
    </row>
    <row r="45" spans="2:10" ht="12.75" customHeight="1">
      <c r="B45" s="113">
        <v>5</v>
      </c>
      <c r="C45" s="113" t="s">
        <v>214</v>
      </c>
      <c r="D45" s="113"/>
      <c r="E45" s="113"/>
      <c r="F45" s="217" t="s">
        <v>215</v>
      </c>
      <c r="G45" s="217"/>
      <c r="H45" s="159" t="s">
        <v>136</v>
      </c>
      <c r="I45" s="113"/>
      <c r="J45" s="113"/>
    </row>
    <row r="46" spans="2:10" ht="12.75" customHeight="1">
      <c r="B46" s="113">
        <v>6</v>
      </c>
      <c r="C46" s="113" t="s">
        <v>216</v>
      </c>
      <c r="D46" s="113"/>
      <c r="E46" s="113"/>
      <c r="F46" s="209">
        <v>30</v>
      </c>
      <c r="G46" s="209"/>
      <c r="H46" s="159" t="s">
        <v>136</v>
      </c>
      <c r="I46" s="113"/>
      <c r="J46" s="113"/>
    </row>
    <row r="47" spans="2:10" ht="12.75" customHeight="1">
      <c r="B47" s="113">
        <v>7</v>
      </c>
      <c r="C47" s="113" t="s">
        <v>217</v>
      </c>
      <c r="D47" s="113"/>
      <c r="E47" s="113"/>
      <c r="F47" s="209">
        <v>170</v>
      </c>
      <c r="G47" s="209"/>
      <c r="H47" s="159" t="s">
        <v>136</v>
      </c>
      <c r="I47" s="113"/>
      <c r="J47" s="113"/>
    </row>
    <row r="48" spans="2:10" ht="12.75" customHeight="1">
      <c r="B48" s="113">
        <v>8</v>
      </c>
      <c r="C48" s="113" t="s">
        <v>218</v>
      </c>
      <c r="D48" s="113"/>
      <c r="E48" s="113"/>
      <c r="F48" s="209">
        <v>220</v>
      </c>
      <c r="G48" s="209"/>
      <c r="H48" s="159" t="s">
        <v>136</v>
      </c>
      <c r="I48" s="113"/>
      <c r="J48" s="113"/>
    </row>
    <row r="49" spans="2:10" ht="12.75" customHeight="1">
      <c r="B49" s="113">
        <v>9</v>
      </c>
      <c r="C49" s="113" t="s">
        <v>219</v>
      </c>
      <c r="D49" s="113"/>
      <c r="E49" s="113"/>
      <c r="F49" s="209">
        <v>440</v>
      </c>
      <c r="G49" s="209"/>
      <c r="H49" s="159" t="s">
        <v>136</v>
      </c>
      <c r="I49" s="113"/>
      <c r="J49" s="113"/>
    </row>
    <row r="50" spans="2:10" ht="12.75" customHeight="1">
      <c r="B50" s="113"/>
      <c r="C50" s="113"/>
      <c r="D50" s="113"/>
      <c r="E50" s="113"/>
      <c r="F50" s="113"/>
      <c r="G50" s="113"/>
      <c r="H50" s="113"/>
      <c r="I50" s="113"/>
      <c r="J50" s="113"/>
    </row>
    <row r="52" spans="6:9" ht="12.75" customHeight="1">
      <c r="F52" s="113" t="s">
        <v>130</v>
      </c>
      <c r="G52" s="113"/>
      <c r="H52" s="113"/>
      <c r="I52" s="113"/>
    </row>
    <row r="53" spans="6:9" ht="12.75" customHeight="1">
      <c r="F53" s="113" t="s">
        <v>131</v>
      </c>
      <c r="G53" s="113"/>
      <c r="H53" s="113"/>
      <c r="I53" s="113"/>
    </row>
    <row r="54" spans="6:9" ht="12.75" customHeight="1">
      <c r="F54" s="209" t="s">
        <v>132</v>
      </c>
      <c r="G54" s="209"/>
      <c r="H54" s="113"/>
      <c r="I54" s="113"/>
    </row>
  </sheetData>
  <sheetProtection/>
  <mergeCells count="47">
    <mergeCell ref="F49:G49"/>
    <mergeCell ref="F54:G54"/>
    <mergeCell ref="F45:G45"/>
    <mergeCell ref="F46:G46"/>
    <mergeCell ref="F47:G47"/>
    <mergeCell ref="F48:G48"/>
    <mergeCell ref="F37:G37"/>
    <mergeCell ref="B40:E40"/>
    <mergeCell ref="F41:G41"/>
    <mergeCell ref="F42:G42"/>
    <mergeCell ref="F43:G43"/>
    <mergeCell ref="F44:G44"/>
    <mergeCell ref="F29:G29"/>
    <mergeCell ref="F31:G31"/>
    <mergeCell ref="F32:G32"/>
    <mergeCell ref="F33:G33"/>
    <mergeCell ref="F34:G34"/>
    <mergeCell ref="F35:G35"/>
    <mergeCell ref="D25:E25"/>
    <mergeCell ref="F25:G25"/>
    <mergeCell ref="D26:E26"/>
    <mergeCell ref="F26:G26"/>
    <mergeCell ref="D27:E27"/>
    <mergeCell ref="F27:G27"/>
    <mergeCell ref="Q16:R16"/>
    <mergeCell ref="D22:E22"/>
    <mergeCell ref="F22:G22"/>
    <mergeCell ref="D23:E23"/>
    <mergeCell ref="F23:G23"/>
    <mergeCell ref="D24:E24"/>
    <mergeCell ref="F24:G24"/>
    <mergeCell ref="Q15:R15"/>
    <mergeCell ref="S15:T15"/>
    <mergeCell ref="S16:T16"/>
    <mergeCell ref="F17:G17"/>
    <mergeCell ref="F18:G18"/>
    <mergeCell ref="D21:E21"/>
    <mergeCell ref="F21:G21"/>
    <mergeCell ref="K16:L16"/>
    <mergeCell ref="M16:N16"/>
    <mergeCell ref="O16:P16"/>
    <mergeCell ref="F9:G9"/>
    <mergeCell ref="F10:G10"/>
    <mergeCell ref="F14:G14"/>
    <mergeCell ref="F15:G15"/>
    <mergeCell ref="K15:L15"/>
    <mergeCell ref="O15:P15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AC50"/>
  <sheetViews>
    <sheetView zoomScalePageLayoutView="0" workbookViewId="0" topLeftCell="C27">
      <selection activeCell="X27" sqref="X27"/>
    </sheetView>
  </sheetViews>
  <sheetFormatPr defaultColWidth="9.140625" defaultRowHeight="21.75"/>
  <cols>
    <col min="1" max="1" width="2.00390625" style="0" customWidth="1"/>
    <col min="2" max="2" width="0.42578125" style="0" customWidth="1"/>
    <col min="3" max="3" width="4.7109375" style="0" customWidth="1"/>
    <col min="4" max="4" width="6.8515625" style="0" customWidth="1"/>
    <col min="5" max="5" width="2.140625" style="0" customWidth="1"/>
    <col min="6" max="6" width="0.2890625" style="0" customWidth="1"/>
    <col min="7" max="7" width="5.7109375" style="0" customWidth="1"/>
    <col min="8" max="8" width="4.140625" style="0" customWidth="1"/>
    <col min="9" max="9" width="5.7109375" style="0" customWidth="1"/>
    <col min="10" max="10" width="4.8515625" style="0" customWidth="1"/>
    <col min="11" max="11" width="3.7109375" style="0" customWidth="1"/>
    <col min="12" max="12" width="11.7109375" style="0" customWidth="1"/>
    <col min="13" max="13" width="2.8515625" style="0" customWidth="1"/>
    <col min="14" max="14" width="11.140625" style="0" customWidth="1"/>
    <col min="15" max="15" width="9.57421875" style="0" customWidth="1"/>
    <col min="16" max="16" width="6.7109375" style="0" customWidth="1"/>
    <col min="17" max="17" width="6.8515625" style="0" customWidth="1"/>
    <col min="18" max="18" width="10.8515625" style="0" customWidth="1"/>
    <col min="19" max="19" width="7.57421875" style="0" customWidth="1"/>
    <col min="20" max="20" width="8.8515625" style="0" customWidth="1"/>
    <col min="21" max="21" width="7.57421875" style="0" customWidth="1"/>
    <col min="22" max="22" width="0.42578125" style="0" customWidth="1"/>
    <col min="23" max="23" width="1.1484375" style="0" customWidth="1"/>
  </cols>
  <sheetData>
    <row r="1" spans="3:21" ht="6.75" customHeight="1" thickBo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2" ht="22.5" thickTop="1">
      <c r="B2" s="5"/>
      <c r="C2" s="9" t="s">
        <v>3</v>
      </c>
      <c r="D2" s="9"/>
      <c r="E2" s="35" t="s">
        <v>0</v>
      </c>
      <c r="F2" s="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4"/>
      <c r="V2" s="5"/>
    </row>
    <row r="3" spans="2:22" ht="21.75">
      <c r="B3" s="6"/>
      <c r="C3" s="1" t="s">
        <v>2</v>
      </c>
      <c r="D3" s="1"/>
      <c r="E3" s="36" t="s">
        <v>0</v>
      </c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5"/>
    </row>
    <row r="4" spans="2:22" ht="21" customHeight="1" thickBot="1">
      <c r="B4" s="6"/>
      <c r="C4" s="10" t="s">
        <v>1</v>
      </c>
      <c r="D4" s="11"/>
      <c r="E4" s="37" t="s">
        <v>0</v>
      </c>
      <c r="F4" s="12"/>
      <c r="G4" s="11" t="s">
        <v>108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6"/>
    </row>
    <row r="5" spans="2:22" ht="21" customHeight="1" thickTop="1">
      <c r="B5" s="6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2:29" ht="22.5" customHeight="1">
      <c r="B6" s="6"/>
      <c r="C6" s="3"/>
      <c r="D6" s="3"/>
      <c r="E6" s="3"/>
      <c r="F6" s="3"/>
      <c r="G6" s="30" t="s">
        <v>109</v>
      </c>
      <c r="H6" s="3"/>
      <c r="I6" s="3"/>
      <c r="J6" s="3"/>
      <c r="K6" s="3"/>
      <c r="L6" s="3"/>
      <c r="M6" s="3"/>
      <c r="N6" s="3"/>
      <c r="O6" s="3"/>
      <c r="P6" s="75" t="s">
        <v>4</v>
      </c>
      <c r="Q6" s="3"/>
      <c r="R6" s="74" t="str">
        <f>N7&amp;" m."</f>
        <v>0.32 m.</v>
      </c>
      <c r="S6" s="3"/>
      <c r="T6" s="3"/>
      <c r="U6" s="3"/>
      <c r="V6" s="6"/>
      <c r="Y6" s="75"/>
      <c r="Z6" s="3"/>
      <c r="AA6" s="74"/>
      <c r="AB6" s="3"/>
      <c r="AC6" s="3"/>
    </row>
    <row r="7" spans="2:29" ht="22.5" customHeight="1">
      <c r="B7" s="6"/>
      <c r="C7" s="3"/>
      <c r="D7" s="3"/>
      <c r="E7" s="3"/>
      <c r="F7" s="3"/>
      <c r="G7" s="3" t="s">
        <v>4</v>
      </c>
      <c r="H7" s="3"/>
      <c r="I7" s="3"/>
      <c r="J7" s="3"/>
      <c r="K7" s="15"/>
      <c r="L7" s="32" t="s">
        <v>49</v>
      </c>
      <c r="M7" s="4" t="s">
        <v>5</v>
      </c>
      <c r="N7" s="45">
        <v>0.32</v>
      </c>
      <c r="O7" s="3" t="s">
        <v>6</v>
      </c>
      <c r="P7" s="3"/>
      <c r="Q7" s="3"/>
      <c r="R7" s="3"/>
      <c r="S7" s="3"/>
      <c r="T7" s="23">
        <f>T15</f>
        <v>2</v>
      </c>
      <c r="U7" s="3"/>
      <c r="V7" s="6"/>
      <c r="Y7" s="3"/>
      <c r="Z7" s="3"/>
      <c r="AA7" s="3"/>
      <c r="AB7" s="3"/>
      <c r="AC7" s="3"/>
    </row>
    <row r="8" spans="2:29" ht="22.5" customHeight="1">
      <c r="B8" s="6"/>
      <c r="C8" s="3"/>
      <c r="D8" s="3"/>
      <c r="E8" s="3"/>
      <c r="F8" s="3"/>
      <c r="G8" s="3" t="s">
        <v>7</v>
      </c>
      <c r="H8" s="3"/>
      <c r="I8" s="3"/>
      <c r="J8" s="3"/>
      <c r="K8" s="15"/>
      <c r="L8" s="32" t="s">
        <v>49</v>
      </c>
      <c r="M8" s="4" t="s">
        <v>5</v>
      </c>
      <c r="N8" s="45">
        <v>4</v>
      </c>
      <c r="O8" s="3" t="s">
        <v>6</v>
      </c>
      <c r="P8" s="3"/>
      <c r="Q8" s="3"/>
      <c r="R8" s="80" t="str">
        <f>T18&amp;"  Degree"</f>
        <v>9  Degree</v>
      </c>
      <c r="S8" s="3"/>
      <c r="T8" s="3"/>
      <c r="U8" s="3"/>
      <c r="V8" s="6"/>
      <c r="Y8" s="3"/>
      <c r="Z8" s="3"/>
      <c r="AA8" s="80"/>
      <c r="AB8" s="3"/>
      <c r="AC8" s="3"/>
    </row>
    <row r="9" spans="2:29" ht="22.5" customHeight="1">
      <c r="B9" s="6"/>
      <c r="C9" s="3"/>
      <c r="D9" s="3"/>
      <c r="E9" s="3"/>
      <c r="F9" s="3"/>
      <c r="G9" s="27" t="s">
        <v>43</v>
      </c>
      <c r="H9" s="3"/>
      <c r="I9" s="3"/>
      <c r="J9" s="3"/>
      <c r="K9" s="15"/>
      <c r="L9" s="16"/>
      <c r="M9" s="4"/>
      <c r="N9" s="16"/>
      <c r="O9" s="3"/>
      <c r="P9" s="3"/>
      <c r="Q9" s="3"/>
      <c r="R9" s="97">
        <f>T16</f>
        <v>12</v>
      </c>
      <c r="S9" s="3"/>
      <c r="T9" s="3"/>
      <c r="U9" s="3"/>
      <c r="V9" s="6"/>
      <c r="Y9" s="3"/>
      <c r="Z9" s="3"/>
      <c r="AA9" s="17"/>
      <c r="AB9" s="3"/>
      <c r="AC9" s="3"/>
    </row>
    <row r="10" spans="2:22" ht="22.5" customHeight="1">
      <c r="B10" s="6"/>
      <c r="C10" s="3"/>
      <c r="D10" s="3"/>
      <c r="E10" s="3"/>
      <c r="F10" s="3"/>
      <c r="G10" s="3" t="s">
        <v>107</v>
      </c>
      <c r="H10" s="3"/>
      <c r="I10" s="3"/>
      <c r="J10" s="76">
        <v>40</v>
      </c>
      <c r="K10" s="3" t="s">
        <v>110</v>
      </c>
      <c r="M10" s="4" t="s">
        <v>5</v>
      </c>
      <c r="N10" s="3" t="str">
        <f>J10&amp;"  kg/m2 x "&amp;N7&amp;" m."</f>
        <v>40  kg/m2 x 0.32 m.</v>
      </c>
      <c r="O10" s="3"/>
      <c r="P10" s="3"/>
      <c r="Q10" s="4"/>
      <c r="R10" s="3"/>
      <c r="S10" s="15" t="s">
        <v>5</v>
      </c>
      <c r="T10" s="16">
        <f>J10*N7</f>
        <v>12.8</v>
      </c>
      <c r="U10" s="17" t="s">
        <v>8</v>
      </c>
      <c r="V10" s="6"/>
    </row>
    <row r="11" spans="2:22" ht="22.5" customHeight="1">
      <c r="B11" s="6"/>
      <c r="C11" s="3"/>
      <c r="D11" s="3"/>
      <c r="E11" s="3"/>
      <c r="F11" s="3"/>
      <c r="G11" s="3" t="s">
        <v>104</v>
      </c>
      <c r="H11" s="3"/>
      <c r="I11" s="3"/>
      <c r="J11" s="83" t="str">
        <f>INDEX('Data Base'!A2:A35,Main!$G$26)</f>
        <v>C 75 x 35 x 15 x 2.3</v>
      </c>
      <c r="K11" s="3"/>
      <c r="L11" s="3"/>
      <c r="M11" s="3"/>
      <c r="N11" s="3"/>
      <c r="O11" s="3"/>
      <c r="P11" s="3"/>
      <c r="Q11" s="4"/>
      <c r="R11" s="32"/>
      <c r="S11" s="15" t="s">
        <v>5</v>
      </c>
      <c r="T11" s="60">
        <f>R26</f>
        <v>2.89</v>
      </c>
      <c r="U11" s="17" t="s">
        <v>8</v>
      </c>
      <c r="V11" s="6"/>
    </row>
    <row r="12" spans="2:22" ht="22.5" customHeight="1">
      <c r="B12" s="6"/>
      <c r="C12" s="3"/>
      <c r="D12" s="3"/>
      <c r="E12" s="3"/>
      <c r="F12" s="3"/>
      <c r="G12" s="3" t="s">
        <v>10</v>
      </c>
      <c r="H12" s="3"/>
      <c r="I12" s="3"/>
      <c r="J12" s="76">
        <v>30</v>
      </c>
      <c r="K12" s="3" t="s">
        <v>110</v>
      </c>
      <c r="L12" s="3"/>
      <c r="M12" s="4" t="s">
        <v>5</v>
      </c>
      <c r="N12" s="3" t="str">
        <f>J12&amp;"  kg/m2 x "&amp;N7&amp;" m."</f>
        <v>30  kg/m2 x 0.32 m.</v>
      </c>
      <c r="O12" s="3"/>
      <c r="P12" s="3"/>
      <c r="Q12" s="3"/>
      <c r="R12" s="3"/>
      <c r="S12" s="15" t="s">
        <v>5</v>
      </c>
      <c r="T12" s="73">
        <f>J12*N7</f>
        <v>9.6</v>
      </c>
      <c r="U12" s="17" t="s">
        <v>8</v>
      </c>
      <c r="V12" s="6"/>
    </row>
    <row r="13" spans="2:22" ht="21.75" customHeight="1" thickBot="1">
      <c r="B13" s="6"/>
      <c r="C13" s="3"/>
      <c r="D13" s="3"/>
      <c r="E13" s="3"/>
      <c r="F13" s="3"/>
      <c r="G13" s="3" t="s"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17" t="s">
        <v>113</v>
      </c>
      <c r="S13" s="15" t="s">
        <v>5</v>
      </c>
      <c r="T13" s="50">
        <f>SUM(T10:T12)</f>
        <v>25.29</v>
      </c>
      <c r="U13" s="17" t="s">
        <v>8</v>
      </c>
      <c r="V13" s="6"/>
    </row>
    <row r="14" spans="2:22" ht="21.75" customHeight="1" thickTop="1">
      <c r="B14" s="6"/>
      <c r="C14" s="3"/>
      <c r="D14" s="3"/>
      <c r="E14" s="3"/>
      <c r="F14" s="3"/>
      <c r="G14" s="27" t="s">
        <v>70</v>
      </c>
      <c r="H14" s="3"/>
      <c r="I14" s="3"/>
      <c r="J14" s="3"/>
      <c r="K14" s="3"/>
      <c r="L14" s="3"/>
      <c r="M14" s="3"/>
      <c r="N14" s="76">
        <v>3</v>
      </c>
      <c r="O14" s="3" t="s">
        <v>71</v>
      </c>
      <c r="P14" s="3"/>
      <c r="Q14" s="3"/>
      <c r="R14" s="3"/>
      <c r="S14" s="15" t="s">
        <v>5</v>
      </c>
      <c r="T14" s="23">
        <f>IF(0&lt;N14,50,0)+IF(9&lt;N14,30,0)+IF(19&lt;N14,40,0)+IF(39&lt;N14,40,0)</f>
        <v>50</v>
      </c>
      <c r="U14" s="17" t="s">
        <v>44</v>
      </c>
      <c r="V14" s="6"/>
    </row>
    <row r="15" spans="2:22" ht="21.75" customHeight="1">
      <c r="B15" s="6"/>
      <c r="C15" s="3"/>
      <c r="D15" s="3"/>
      <c r="E15" s="3"/>
      <c r="F15" s="3"/>
      <c r="G15" s="27"/>
      <c r="H15" s="3"/>
      <c r="I15" s="3"/>
      <c r="J15" s="3"/>
      <c r="K15" s="3"/>
      <c r="L15" s="3"/>
      <c r="M15" s="3"/>
      <c r="N15" s="3"/>
      <c r="O15" s="3"/>
      <c r="P15" s="3"/>
      <c r="Q15" s="32" t="s">
        <v>49</v>
      </c>
      <c r="R15" s="19" t="s">
        <v>50</v>
      </c>
      <c r="S15" s="15" t="s">
        <v>5</v>
      </c>
      <c r="T15" s="77">
        <v>2</v>
      </c>
      <c r="U15" s="3" t="s">
        <v>6</v>
      </c>
      <c r="V15" s="6"/>
    </row>
    <row r="16" spans="2:22" ht="21.75" customHeight="1">
      <c r="B16" s="6"/>
      <c r="C16" s="3"/>
      <c r="D16" s="3"/>
      <c r="E16" s="3"/>
      <c r="F16" s="3"/>
      <c r="G16" s="27"/>
      <c r="H16" s="3"/>
      <c r="I16" s="3"/>
      <c r="J16" s="3"/>
      <c r="K16" s="3"/>
      <c r="L16" s="3"/>
      <c r="M16" s="3"/>
      <c r="N16" s="3"/>
      <c r="O16" s="3"/>
      <c r="P16" s="3"/>
      <c r="Q16" s="32" t="s">
        <v>49</v>
      </c>
      <c r="R16" s="19" t="s">
        <v>51</v>
      </c>
      <c r="S16" s="15" t="s">
        <v>5</v>
      </c>
      <c r="T16" s="77">
        <v>12</v>
      </c>
      <c r="U16" s="3" t="s">
        <v>6</v>
      </c>
      <c r="V16" s="6"/>
    </row>
    <row r="17" spans="2:25" ht="26.25" customHeight="1">
      <c r="B17" s="6"/>
      <c r="C17" s="3"/>
      <c r="D17" s="3"/>
      <c r="E17" s="3"/>
      <c r="F17" s="3"/>
      <c r="I17" s="3"/>
      <c r="J17" s="3"/>
      <c r="K17" s="4"/>
      <c r="M17" s="3"/>
      <c r="O17" s="18" t="s">
        <v>106</v>
      </c>
      <c r="P17" s="4" t="s">
        <v>5</v>
      </c>
      <c r="Q17" s="49" t="str">
        <f>"tan -1  ( "&amp;T15&amp;" / "&amp;T16&amp;" )"</f>
        <v>tan -1  ( 2 / 12 )</v>
      </c>
      <c r="S17" s="15" t="s">
        <v>5</v>
      </c>
      <c r="T17" s="47">
        <f>(ATAN($T$15/$T$16))*180/(PI())</f>
        <v>9.462322208025617</v>
      </c>
      <c r="U17" s="28" t="s">
        <v>45</v>
      </c>
      <c r="V17" s="6"/>
      <c r="Y17" s="29"/>
    </row>
    <row r="18" spans="2:25" ht="26.25" customHeight="1">
      <c r="B18" s="6"/>
      <c r="C18" s="3"/>
      <c r="E18" s="3"/>
      <c r="F18" s="3"/>
      <c r="I18" s="3"/>
      <c r="J18" s="3"/>
      <c r="K18" s="4"/>
      <c r="L18" s="46"/>
      <c r="M18" s="3"/>
      <c r="N18" s="3"/>
      <c r="P18" s="4"/>
      <c r="Q18" s="17" t="s">
        <v>39</v>
      </c>
      <c r="R18" s="18" t="s">
        <v>106</v>
      </c>
      <c r="S18" s="15" t="s">
        <v>5</v>
      </c>
      <c r="T18" s="47">
        <f>ROUND(T17,0)</f>
        <v>9</v>
      </c>
      <c r="U18" s="28" t="s">
        <v>45</v>
      </c>
      <c r="V18" s="6"/>
      <c r="Y18" s="29"/>
    </row>
    <row r="19" spans="2:22" ht="22.5" customHeight="1">
      <c r="B19" s="6"/>
      <c r="C19" s="3"/>
      <c r="D19" s="3"/>
      <c r="E19" s="3"/>
      <c r="F19" s="3"/>
      <c r="G19" s="3" t="s">
        <v>105</v>
      </c>
      <c r="H19" s="3"/>
      <c r="I19" s="3"/>
      <c r="J19" s="3"/>
      <c r="K19" s="3"/>
      <c r="L19" s="3"/>
      <c r="M19" s="4" t="s">
        <v>5</v>
      </c>
      <c r="N19" s="3" t="str">
        <f>"( "&amp;T14&amp;" x "&amp;T18&amp;" / 45) kg/m"</f>
        <v>( 50 x 9 / 45) kg/m</v>
      </c>
      <c r="O19" s="3"/>
      <c r="P19" s="3"/>
      <c r="Q19" s="3"/>
      <c r="R19" s="3"/>
      <c r="S19" s="15" t="s">
        <v>5</v>
      </c>
      <c r="T19" s="23">
        <f>ROUND(T14*T18/45,2)</f>
        <v>10</v>
      </c>
      <c r="U19" s="17" t="s">
        <v>8</v>
      </c>
      <c r="V19" s="6"/>
    </row>
    <row r="20" spans="2:22" ht="22.5" customHeight="1">
      <c r="B20" s="6"/>
      <c r="C20" s="3"/>
      <c r="D20" s="3"/>
      <c r="E20" s="3"/>
      <c r="F20" s="3"/>
      <c r="G20" s="3" t="s">
        <v>11</v>
      </c>
      <c r="H20" s="4" t="s">
        <v>5</v>
      </c>
      <c r="I20" s="3" t="s">
        <v>46</v>
      </c>
      <c r="J20" s="3"/>
      <c r="K20" s="3"/>
      <c r="L20" s="3"/>
      <c r="M20" s="4" t="s">
        <v>5</v>
      </c>
      <c r="N20" s="31" t="str">
        <f>T13&amp;" x sin "&amp;T18</f>
        <v>25.29 x sin 9</v>
      </c>
      <c r="O20" s="3"/>
      <c r="P20" s="3"/>
      <c r="Q20" s="3"/>
      <c r="R20" s="3"/>
      <c r="S20" s="15" t="s">
        <v>5</v>
      </c>
      <c r="T20" s="23">
        <f>T13*SIN(T18*PI()/180)</f>
        <v>3.9562276208674385</v>
      </c>
      <c r="U20" s="17" t="s">
        <v>8</v>
      </c>
      <c r="V20" s="6"/>
    </row>
    <row r="21" spans="2:22" ht="22.5" customHeight="1">
      <c r="B21" s="6"/>
      <c r="C21" s="3"/>
      <c r="D21" s="3"/>
      <c r="E21" s="3"/>
      <c r="F21" s="3"/>
      <c r="G21" s="3" t="s">
        <v>12</v>
      </c>
      <c r="H21" s="4" t="s">
        <v>5</v>
      </c>
      <c r="I21" s="3" t="s">
        <v>13</v>
      </c>
      <c r="J21" s="3"/>
      <c r="K21" s="3"/>
      <c r="L21" s="3"/>
      <c r="M21" s="4" t="s">
        <v>5</v>
      </c>
      <c r="N21" s="3" t="str">
        <f>T13&amp;" x cos "&amp;T18&amp;" + "&amp;T19</f>
        <v>25.29 x cos 9 + 10</v>
      </c>
      <c r="O21" s="3"/>
      <c r="P21" s="3"/>
      <c r="Q21" s="3"/>
      <c r="R21" s="3"/>
      <c r="S21" s="15" t="s">
        <v>5</v>
      </c>
      <c r="T21" s="23">
        <f>ROUND($T$13*COS($T$18*PI()/180)+$T$19,2)</f>
        <v>34.98</v>
      </c>
      <c r="U21" s="17" t="s">
        <v>8</v>
      </c>
      <c r="V21" s="6"/>
    </row>
    <row r="22" spans="2:22" ht="22.5" customHeight="1">
      <c r="B22" s="6"/>
      <c r="C22" s="3"/>
      <c r="D22" s="3"/>
      <c r="E22" s="3"/>
      <c r="F22" s="3"/>
      <c r="G22" s="19" t="s">
        <v>14</v>
      </c>
      <c r="H22" s="4" t="s">
        <v>5</v>
      </c>
      <c r="I22" s="3" t="s">
        <v>48</v>
      </c>
      <c r="J22" s="3"/>
      <c r="K22" s="3"/>
      <c r="L22" s="19" t="s">
        <v>14</v>
      </c>
      <c r="M22" s="4" t="s">
        <v>5</v>
      </c>
      <c r="N22" s="3" t="str">
        <f>"1/8 x "&amp;T21&amp;" x "&amp;N8&amp;"^2"</f>
        <v>1/8 x 34.98 x 4^2</v>
      </c>
      <c r="O22" s="3"/>
      <c r="P22" s="3"/>
      <c r="Q22" s="3"/>
      <c r="R22" s="3"/>
      <c r="S22" s="15" t="s">
        <v>5</v>
      </c>
      <c r="T22" s="16">
        <f>ROUND(1/8*T21*$N$8^2,2)</f>
        <v>69.96</v>
      </c>
      <c r="U22" s="17" t="s">
        <v>16</v>
      </c>
      <c r="V22" s="6"/>
    </row>
    <row r="23" spans="2:22" ht="22.5" customHeight="1">
      <c r="B23" s="6"/>
      <c r="C23" s="3"/>
      <c r="D23" s="3"/>
      <c r="E23" s="3"/>
      <c r="F23" s="3"/>
      <c r="G23" s="19" t="s">
        <v>15</v>
      </c>
      <c r="H23" s="4" t="s">
        <v>5</v>
      </c>
      <c r="I23" s="3" t="s">
        <v>66</v>
      </c>
      <c r="J23" s="3"/>
      <c r="K23" s="3"/>
      <c r="L23" s="19" t="s">
        <v>15</v>
      </c>
      <c r="M23" s="4" t="s">
        <v>5</v>
      </c>
      <c r="N23" s="3" t="str">
        <f>"1/8 x "&amp;T22&amp;" x "&amp;N8&amp;"^2"</f>
        <v>1/8 x 69.96 x 4^2</v>
      </c>
      <c r="O23" s="3"/>
      <c r="P23" s="3"/>
      <c r="Q23" s="3"/>
      <c r="R23" s="3"/>
      <c r="S23" s="15" t="s">
        <v>5</v>
      </c>
      <c r="T23" s="23">
        <f>ROUND(1/8*T20*$N$8^2,2)</f>
        <v>7.91</v>
      </c>
      <c r="U23" s="17" t="s">
        <v>16</v>
      </c>
      <c r="V23" s="6"/>
    </row>
    <row r="24" spans="2:22" ht="22.5" customHeight="1">
      <c r="B24" s="6"/>
      <c r="C24" s="3"/>
      <c r="D24" s="3"/>
      <c r="E24" s="3"/>
      <c r="F24" s="3"/>
      <c r="G24" s="34" t="s">
        <v>30</v>
      </c>
      <c r="H24" s="34"/>
      <c r="I24" s="34"/>
      <c r="J24" s="38"/>
      <c r="K24" s="38"/>
      <c r="L24" s="39" t="s">
        <v>32</v>
      </c>
      <c r="M24" s="40" t="s">
        <v>5</v>
      </c>
      <c r="N24" s="41">
        <v>5000</v>
      </c>
      <c r="O24" s="42" t="s">
        <v>67</v>
      </c>
      <c r="P24" s="39" t="s">
        <v>31</v>
      </c>
      <c r="Q24" s="43" t="s">
        <v>5</v>
      </c>
      <c r="R24" s="41">
        <v>2520</v>
      </c>
      <c r="S24" s="42" t="s">
        <v>67</v>
      </c>
      <c r="T24" s="3"/>
      <c r="U24" s="17"/>
      <c r="V24" s="6"/>
    </row>
    <row r="25" spans="2:22" ht="22.5" customHeight="1">
      <c r="B25" s="6"/>
      <c r="C25" s="3"/>
      <c r="D25" s="3"/>
      <c r="E25" s="3"/>
      <c r="F25" s="3"/>
      <c r="G25" s="38"/>
      <c r="H25" s="38"/>
      <c r="I25" s="38"/>
      <c r="J25" s="38"/>
      <c r="K25" s="38"/>
      <c r="L25" s="39" t="s">
        <v>40</v>
      </c>
      <c r="M25" s="40" t="s">
        <v>5</v>
      </c>
      <c r="N25" s="41" t="s">
        <v>41</v>
      </c>
      <c r="O25" s="42"/>
      <c r="P25" s="39"/>
      <c r="Q25" s="43"/>
      <c r="R25" s="41"/>
      <c r="S25" s="42"/>
      <c r="T25" s="3"/>
      <c r="U25" s="17"/>
      <c r="V25" s="6"/>
    </row>
    <row r="26" spans="2:25" ht="18" customHeight="1">
      <c r="B26" s="6"/>
      <c r="C26" s="3"/>
      <c r="D26" s="3"/>
      <c r="E26" s="3"/>
      <c r="F26" s="3"/>
      <c r="G26" s="81">
        <v>2</v>
      </c>
      <c r="H26" s="82"/>
      <c r="I26" s="82"/>
      <c r="J26" s="82"/>
      <c r="K26" s="82"/>
      <c r="L26" s="82"/>
      <c r="M26" s="83"/>
      <c r="N26" s="83"/>
      <c r="O26" s="83"/>
      <c r="P26" s="84" t="s">
        <v>17</v>
      </c>
      <c r="Q26" s="85" t="s">
        <v>5</v>
      </c>
      <c r="R26" s="83">
        <f>INDEX('Data Base'!B$2:B$35,Main!$G$26)</f>
        <v>2.89</v>
      </c>
      <c r="S26" s="86" t="s">
        <v>8</v>
      </c>
      <c r="T26" s="3"/>
      <c r="U26" s="3"/>
      <c r="V26" s="6"/>
      <c r="Y26" s="25"/>
    </row>
    <row r="27" spans="2:28" ht="22.5" customHeight="1">
      <c r="B27" s="6"/>
      <c r="C27" s="3"/>
      <c r="D27" s="3"/>
      <c r="E27" s="3"/>
      <c r="F27" s="3"/>
      <c r="G27" s="87"/>
      <c r="H27" s="38"/>
      <c r="I27" s="38"/>
      <c r="J27" s="38"/>
      <c r="K27" s="38"/>
      <c r="L27" s="44" t="s">
        <v>18</v>
      </c>
      <c r="M27" s="43" t="s">
        <v>5</v>
      </c>
      <c r="N27" s="38">
        <f>ROUND(INDEX('Data Base'!D2:D35,Main!$G$26),2)</f>
        <v>31</v>
      </c>
      <c r="O27" s="38" t="s">
        <v>68</v>
      </c>
      <c r="P27" s="44" t="s">
        <v>42</v>
      </c>
      <c r="Q27" s="43" t="s">
        <v>5</v>
      </c>
      <c r="R27" s="38">
        <f>ROUND(INDEX('Data Base'!E2:E35,Main!$G$26),2)</f>
        <v>6.58</v>
      </c>
      <c r="S27" s="88" t="s">
        <v>68</v>
      </c>
      <c r="T27" s="19"/>
      <c r="U27" s="19"/>
      <c r="V27" s="6"/>
      <c r="Y27" s="19"/>
      <c r="Z27" s="15"/>
      <c r="AA27" s="21"/>
      <c r="AB27" s="3"/>
    </row>
    <row r="28" spans="2:28" ht="22.5" customHeight="1">
      <c r="B28" s="6"/>
      <c r="C28" s="3"/>
      <c r="D28" s="3"/>
      <c r="E28" s="3"/>
      <c r="F28" s="3"/>
      <c r="G28" s="87"/>
      <c r="H28" s="38"/>
      <c r="I28" s="38"/>
      <c r="J28" s="38"/>
      <c r="K28" s="38"/>
      <c r="L28" s="44" t="s">
        <v>19</v>
      </c>
      <c r="M28" s="43" t="s">
        <v>5</v>
      </c>
      <c r="N28" s="38">
        <f>ROUND(INDEX('Data Base'!F2:F35,Main!$G$26),2)</f>
        <v>8.28</v>
      </c>
      <c r="O28" s="38" t="s">
        <v>69</v>
      </c>
      <c r="P28" s="44" t="s">
        <v>33</v>
      </c>
      <c r="Q28" s="43" t="s">
        <v>5</v>
      </c>
      <c r="R28" s="38">
        <f>ROUND(INDEX('Data Base'!G2:G35,Main!$G$26),2)</f>
        <v>2.98</v>
      </c>
      <c r="S28" s="88" t="s">
        <v>69</v>
      </c>
      <c r="T28" s="3"/>
      <c r="U28" s="3"/>
      <c r="V28" s="6"/>
      <c r="Y28" s="19"/>
      <c r="Z28" s="15"/>
      <c r="AA28" s="21"/>
      <c r="AB28" s="3"/>
    </row>
    <row r="29" spans="2:28" ht="22.5" customHeight="1">
      <c r="B29" s="6"/>
      <c r="C29" s="3"/>
      <c r="D29" s="3"/>
      <c r="E29" s="3"/>
      <c r="F29" s="3"/>
      <c r="G29" s="89"/>
      <c r="H29" s="90"/>
      <c r="I29" s="90"/>
      <c r="J29" s="90"/>
      <c r="K29" s="90"/>
      <c r="L29" s="91" t="s">
        <v>63</v>
      </c>
      <c r="M29" s="90" t="s">
        <v>5</v>
      </c>
      <c r="N29" s="92">
        <f>INDEX('Data Base'!C2:C35,Main!$G$26)</f>
        <v>3.677</v>
      </c>
      <c r="O29" s="90" t="s">
        <v>64</v>
      </c>
      <c r="P29" s="93" t="s">
        <v>101</v>
      </c>
      <c r="Q29" s="94" t="s">
        <v>5</v>
      </c>
      <c r="R29" s="92">
        <f>INDEX('Data Base'!I2:I35,Main!$G$26)</f>
        <v>3.75</v>
      </c>
      <c r="S29" s="95" t="s">
        <v>102</v>
      </c>
      <c r="T29" s="72">
        <f>INDEX('Data Base'!J2:J35,Main!$G$26)</f>
        <v>0.23</v>
      </c>
      <c r="U29" s="3"/>
      <c r="V29" s="6"/>
      <c r="Y29" s="19"/>
      <c r="Z29" s="15"/>
      <c r="AA29" s="20"/>
      <c r="AB29" s="17"/>
    </row>
    <row r="30" spans="2:28" ht="22.5" customHeight="1">
      <c r="B30" s="6"/>
      <c r="C30" s="3"/>
      <c r="D30" s="3"/>
      <c r="E30" s="3"/>
      <c r="F30" s="3"/>
      <c r="G30" s="3"/>
      <c r="H30" s="3"/>
      <c r="I30" s="3"/>
      <c r="J30" s="3"/>
      <c r="K30" s="3"/>
      <c r="L30" s="19" t="s">
        <v>25</v>
      </c>
      <c r="M30" s="15" t="s">
        <v>5</v>
      </c>
      <c r="N30" s="3" t="s">
        <v>27</v>
      </c>
      <c r="O30" s="4"/>
      <c r="P30" s="4"/>
      <c r="Q30" s="15" t="s">
        <v>5</v>
      </c>
      <c r="R30" s="22">
        <f>0.6*R24</f>
        <v>1512</v>
      </c>
      <c r="S30" s="17" t="s">
        <v>29</v>
      </c>
      <c r="T30" s="3"/>
      <c r="U30" s="3"/>
      <c r="V30" s="6"/>
      <c r="Y30" s="19"/>
      <c r="Z30" s="15"/>
      <c r="AA30" s="21"/>
      <c r="AB30" s="3"/>
    </row>
    <row r="31" spans="2:22" ht="22.5" customHeight="1">
      <c r="B31" s="6"/>
      <c r="C31" s="3"/>
      <c r="D31" s="3"/>
      <c r="E31" s="3"/>
      <c r="F31" s="3"/>
      <c r="G31" s="34" t="s">
        <v>115</v>
      </c>
      <c r="H31" s="3"/>
      <c r="I31" s="3"/>
      <c r="J31" s="3"/>
      <c r="K31" s="3"/>
      <c r="L31" s="19" t="s">
        <v>26</v>
      </c>
      <c r="M31" s="15" t="s">
        <v>5</v>
      </c>
      <c r="N31" s="3" t="s">
        <v>28</v>
      </c>
      <c r="O31" s="3"/>
      <c r="P31" s="3"/>
      <c r="Q31" s="15" t="s">
        <v>5</v>
      </c>
      <c r="R31" s="16">
        <f>0.75*R24</f>
        <v>1890</v>
      </c>
      <c r="S31" s="17" t="s">
        <v>29</v>
      </c>
      <c r="T31" s="3"/>
      <c r="U31" s="3"/>
      <c r="V31" s="6"/>
    </row>
    <row r="32" spans="2:28" ht="22.5" customHeight="1">
      <c r="B32" s="6"/>
      <c r="C32" s="3"/>
      <c r="D32" s="3"/>
      <c r="E32" s="3"/>
      <c r="F32" s="3"/>
      <c r="G32" s="3" t="s">
        <v>20</v>
      </c>
      <c r="H32" s="3"/>
      <c r="I32" s="15" t="s">
        <v>24</v>
      </c>
      <c r="J32" s="3" t="s">
        <v>21</v>
      </c>
      <c r="K32" s="3"/>
      <c r="L32" s="3"/>
      <c r="M32" s="15" t="s">
        <v>5</v>
      </c>
      <c r="N32" s="3" t="s">
        <v>22</v>
      </c>
      <c r="O32" s="15" t="s">
        <v>24</v>
      </c>
      <c r="P32" s="3" t="s">
        <v>23</v>
      </c>
      <c r="Q32" s="3"/>
      <c r="R32" s="3"/>
      <c r="S32" s="3"/>
      <c r="T32" s="3"/>
      <c r="U32" s="3"/>
      <c r="V32" s="6"/>
      <c r="Y32" s="19"/>
      <c r="Z32" s="15"/>
      <c r="AA32" s="21"/>
      <c r="AB32" s="3"/>
    </row>
    <row r="33" spans="2:22" ht="22.5" customHeight="1">
      <c r="B33" s="6"/>
      <c r="C33" s="3"/>
      <c r="D33" s="3"/>
      <c r="E33" s="3"/>
      <c r="F33" s="3"/>
      <c r="G33" s="3"/>
      <c r="H33" s="3"/>
      <c r="I33" s="15"/>
      <c r="J33" s="3"/>
      <c r="K33" s="3"/>
      <c r="L33" s="3"/>
      <c r="M33" s="15" t="s">
        <v>5</v>
      </c>
      <c r="N33" s="3" t="str">
        <f>"( "&amp;T22&amp;"x 100/"&amp;N28&amp;" ) / "&amp;R30</f>
        <v>( 69.96x 100/8.28 ) / 1512</v>
      </c>
      <c r="O33" s="3"/>
      <c r="P33" s="15" t="s">
        <v>24</v>
      </c>
      <c r="Q33" s="3" t="str">
        <f>"( "&amp;T23&amp;"x100/"&amp;R28&amp;" ) / "&amp;R31</f>
        <v>( 7.91x100/2.98 ) / 1890</v>
      </c>
      <c r="R33" s="3"/>
      <c r="S33" s="3"/>
      <c r="T33" s="3"/>
      <c r="U33" s="3"/>
      <c r="V33" s="6"/>
    </row>
    <row r="34" spans="2:22" ht="22.5" customHeight="1"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17" t="s">
        <v>5</v>
      </c>
      <c r="N34" s="24" t="str">
        <f>ROUND(($T$22*100)/$N$28/$R$30,3)&amp;"  +   "&amp;ROUND(($T$23*100)/$R$28/$R$31,3)&amp;"    =    "&amp;ROUND(($T$22*100)/$N$28/$R$30+($T$23*100)/$R$28/$R$31,3)</f>
        <v>0.559  +   0.14    =    0.699</v>
      </c>
      <c r="O34" s="15"/>
      <c r="P34" s="17" t="s">
        <v>114</v>
      </c>
      <c r="R34" s="59" t="str">
        <f>IF(ROUND(($T$22*100)/$N$28/$R$30+($T$23*100)/$R$28/$R$31,3)&lt;1,"O.K."," No Pass")</f>
        <v>O.K.</v>
      </c>
      <c r="S34" s="26"/>
      <c r="T34" s="16"/>
      <c r="U34" s="25"/>
      <c r="V34" s="6"/>
    </row>
    <row r="35" spans="2:22" ht="19.5" customHeight="1">
      <c r="B35" s="6"/>
      <c r="C35" s="3"/>
      <c r="D35" s="3"/>
      <c r="E35" s="3"/>
      <c r="F35" s="3"/>
      <c r="G35" s="34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/>
    </row>
    <row r="36" spans="2:22" ht="22.5" customHeight="1">
      <c r="B36" s="6"/>
      <c r="C36" s="3"/>
      <c r="D36" s="3"/>
      <c r="E36" s="3"/>
      <c r="F36" s="3"/>
      <c r="G36" s="3"/>
      <c r="H36" s="17"/>
      <c r="I36" s="3"/>
      <c r="J36" s="4"/>
      <c r="K36" s="3"/>
      <c r="L36" s="33" t="s">
        <v>38</v>
      </c>
      <c r="M36" s="15" t="s">
        <v>5</v>
      </c>
      <c r="N36" s="3" t="s">
        <v>36</v>
      </c>
      <c r="O36" s="3"/>
      <c r="P36" s="3"/>
      <c r="Q36" s="15" t="s">
        <v>5</v>
      </c>
      <c r="R36" s="3" t="str">
        <f>N8*100&amp;" / "&amp;"360"</f>
        <v>400 / 360</v>
      </c>
      <c r="S36" s="15" t="s">
        <v>5</v>
      </c>
      <c r="T36" s="23">
        <f>N8*100/360</f>
        <v>1.1111111111111112</v>
      </c>
      <c r="U36" s="3" t="s">
        <v>37</v>
      </c>
      <c r="V36" s="6"/>
    </row>
    <row r="37" spans="2:22" ht="22.5" customHeight="1">
      <c r="B37" s="6"/>
      <c r="C37" s="3"/>
      <c r="D37" s="3"/>
      <c r="E37" s="3"/>
      <c r="F37" s="3"/>
      <c r="G37" s="27"/>
      <c r="H37" s="27"/>
      <c r="I37" s="27"/>
      <c r="J37" s="27"/>
      <c r="K37" s="27"/>
      <c r="L37" s="62" t="s">
        <v>47</v>
      </c>
      <c r="M37" s="63" t="s">
        <v>5</v>
      </c>
      <c r="N37" s="27" t="s">
        <v>116</v>
      </c>
      <c r="O37" s="27"/>
      <c r="P37" s="27"/>
      <c r="Q37" s="63"/>
      <c r="R37" s="27"/>
      <c r="S37" s="27"/>
      <c r="T37" s="27"/>
      <c r="U37" s="27"/>
      <c r="V37" s="6"/>
    </row>
    <row r="38" spans="2:22" ht="22.5" customHeight="1">
      <c r="B38" s="6"/>
      <c r="C38" s="3"/>
      <c r="D38" s="3"/>
      <c r="E38" s="3"/>
      <c r="F38" s="3"/>
      <c r="G38" s="27"/>
      <c r="H38" s="27"/>
      <c r="I38" s="27"/>
      <c r="J38" s="27"/>
      <c r="K38" s="27"/>
      <c r="L38" s="27"/>
      <c r="M38" s="63" t="s">
        <v>5</v>
      </c>
      <c r="N38" s="64">
        <f>(5*T21/100*(N8*100)^4)/(384*2.04*10^6*N27)</f>
        <v>1.8437697659709043</v>
      </c>
      <c r="O38" s="28" t="s">
        <v>34</v>
      </c>
      <c r="P38" s="65">
        <f>T36</f>
        <v>1.1111111111111112</v>
      </c>
      <c r="Q38" s="79" t="str">
        <f>IF(P38&gt;N38,"O.K.","No Pass")</f>
        <v>No Pass</v>
      </c>
      <c r="R38" s="205" t="s">
        <v>130</v>
      </c>
      <c r="S38" s="205"/>
      <c r="T38" s="205"/>
      <c r="U38" s="66"/>
      <c r="V38" s="6"/>
    </row>
    <row r="39" spans="2:22" ht="22.5" customHeight="1">
      <c r="B39" s="6"/>
      <c r="C39" s="3"/>
      <c r="D39" s="3"/>
      <c r="E39" s="3"/>
      <c r="F39" s="3"/>
      <c r="G39" s="27"/>
      <c r="H39" s="27"/>
      <c r="I39" s="27"/>
      <c r="J39" s="27"/>
      <c r="K39" s="27"/>
      <c r="L39" s="62" t="s">
        <v>112</v>
      </c>
      <c r="M39" s="63" t="s">
        <v>5</v>
      </c>
      <c r="N39" s="27" t="s">
        <v>117</v>
      </c>
      <c r="O39" s="27"/>
      <c r="P39" s="27"/>
      <c r="Q39" s="63"/>
      <c r="R39" s="205" t="s">
        <v>131</v>
      </c>
      <c r="S39" s="205"/>
      <c r="T39" s="205"/>
      <c r="U39" s="27"/>
      <c r="V39" s="6"/>
    </row>
    <row r="40" spans="2:22" ht="22.5" customHeight="1">
      <c r="B40" s="6"/>
      <c r="C40" s="3"/>
      <c r="D40" s="3"/>
      <c r="E40" s="3"/>
      <c r="F40" s="3"/>
      <c r="G40" s="27"/>
      <c r="H40" s="27"/>
      <c r="I40" s="27"/>
      <c r="J40" s="27"/>
      <c r="K40" s="27"/>
      <c r="L40" s="27"/>
      <c r="M40" s="63" t="s">
        <v>5</v>
      </c>
      <c r="N40" s="64">
        <f>(5*T20/100*(N8*100)^4)/(384*2.04*10^6*R27)</f>
        <v>0.9824352913531395</v>
      </c>
      <c r="O40" s="28" t="s">
        <v>34</v>
      </c>
      <c r="P40" s="65">
        <f>T36</f>
        <v>1.1111111111111112</v>
      </c>
      <c r="Q40" s="79" t="str">
        <f>IF(P40&gt;N40,"O.K.","No Pass")</f>
        <v>O.K.</v>
      </c>
      <c r="R40" s="205" t="s">
        <v>132</v>
      </c>
      <c r="S40" s="205"/>
      <c r="T40" s="205"/>
      <c r="U40" s="66"/>
      <c r="V40" s="6"/>
    </row>
    <row r="41" spans="2:22" ht="22.5" customHeight="1">
      <c r="B41" s="6"/>
      <c r="C41" s="3"/>
      <c r="D41" s="3"/>
      <c r="E41" s="3"/>
      <c r="F41" s="3"/>
      <c r="G41" s="67" t="s">
        <v>52</v>
      </c>
      <c r="H41" s="27"/>
      <c r="I41" s="27"/>
      <c r="J41" s="27"/>
      <c r="K41" s="27"/>
      <c r="L41" s="68" t="s">
        <v>53</v>
      </c>
      <c r="M41" s="63" t="s">
        <v>5</v>
      </c>
      <c r="N41" s="27" t="str">
        <f>"1/2 x "&amp;T21&amp;" x "&amp;N8</f>
        <v>1/2 x 34.98 x 4</v>
      </c>
      <c r="O41" s="27"/>
      <c r="P41" s="27"/>
      <c r="Q41" s="63" t="s">
        <v>5</v>
      </c>
      <c r="R41" s="60">
        <f>0.5*T21*N8</f>
        <v>69.96</v>
      </c>
      <c r="S41" s="28" t="s">
        <v>54</v>
      </c>
      <c r="T41" s="27"/>
      <c r="U41" s="27"/>
      <c r="V41" s="6"/>
    </row>
    <row r="42" spans="2:22" ht="22.5" customHeight="1">
      <c r="B42" s="6"/>
      <c r="C42" s="3"/>
      <c r="D42" s="3"/>
      <c r="E42" s="3"/>
      <c r="F42" s="3"/>
      <c r="G42" s="62" t="s">
        <v>55</v>
      </c>
      <c r="H42" s="27"/>
      <c r="I42" s="27"/>
      <c r="J42" s="27"/>
      <c r="K42" s="27"/>
      <c r="L42" s="69"/>
      <c r="M42" s="63" t="s">
        <v>5</v>
      </c>
      <c r="N42" s="60" t="s">
        <v>56</v>
      </c>
      <c r="O42" s="27"/>
      <c r="P42" s="27"/>
      <c r="Q42" s="63" t="s">
        <v>5</v>
      </c>
      <c r="R42" s="65">
        <f>0.4*R24</f>
        <v>1008</v>
      </c>
      <c r="S42" s="28" t="s">
        <v>29</v>
      </c>
      <c r="T42" s="27"/>
      <c r="U42" s="27"/>
      <c r="V42" s="6"/>
    </row>
    <row r="43" spans="2:22" ht="22.5" customHeight="1">
      <c r="B43" s="6"/>
      <c r="C43" s="3"/>
      <c r="D43" s="3"/>
      <c r="E43" s="3"/>
      <c r="F43" s="3"/>
      <c r="G43" s="27" t="s">
        <v>57</v>
      </c>
      <c r="H43" s="27"/>
      <c r="I43" s="27"/>
      <c r="J43" s="27"/>
      <c r="K43" s="27"/>
      <c r="L43" s="68" t="s">
        <v>60</v>
      </c>
      <c r="M43" s="63" t="s">
        <v>5</v>
      </c>
      <c r="N43" s="27" t="s">
        <v>61</v>
      </c>
      <c r="O43" s="27"/>
      <c r="P43" s="27"/>
      <c r="Q43" s="63" t="s">
        <v>5</v>
      </c>
      <c r="R43" s="60">
        <f>R41/N29</f>
        <v>19.02638020125102</v>
      </c>
      <c r="S43" s="28" t="s">
        <v>29</v>
      </c>
      <c r="T43" s="70" t="s">
        <v>65</v>
      </c>
      <c r="U43" s="59" t="str">
        <f>IF(R43&lt;R42,"O.K."," No Pass")</f>
        <v>O.K.</v>
      </c>
      <c r="V43" s="6"/>
    </row>
    <row r="44" spans="2:22" ht="18.75" customHeight="1">
      <c r="B44" s="6"/>
      <c r="C44" s="3"/>
      <c r="D44" s="3"/>
      <c r="E44" s="3"/>
      <c r="F44" s="3"/>
      <c r="G44" s="27" t="s">
        <v>58</v>
      </c>
      <c r="H44" s="27"/>
      <c r="I44" s="27"/>
      <c r="J44" s="27"/>
      <c r="K44" s="27"/>
      <c r="L44" s="68" t="s">
        <v>59</v>
      </c>
      <c r="M44" s="63" t="s">
        <v>5</v>
      </c>
      <c r="N44" s="27" t="s">
        <v>62</v>
      </c>
      <c r="O44" s="27"/>
      <c r="P44" s="27"/>
      <c r="Q44" s="63" t="s">
        <v>5</v>
      </c>
      <c r="R44" s="60">
        <f>R41/(R29*T29)</f>
        <v>81.11304347826086</v>
      </c>
      <c r="S44" s="28" t="s">
        <v>29</v>
      </c>
      <c r="T44" s="70" t="s">
        <v>65</v>
      </c>
      <c r="U44" s="59" t="str">
        <f>IF(R44&lt;R42,"O.K."," No Pass")</f>
        <v>O.K.</v>
      </c>
      <c r="V44" s="6"/>
    </row>
    <row r="45" spans="2:22" ht="18.75" customHeight="1">
      <c r="B45" s="6"/>
      <c r="C45" s="3"/>
      <c r="D45" s="3"/>
      <c r="E45" s="3"/>
      <c r="F45" s="3"/>
      <c r="G45" s="27"/>
      <c r="H45" s="27"/>
      <c r="I45" s="27"/>
      <c r="J45" s="27"/>
      <c r="K45" s="27"/>
      <c r="L45" s="68"/>
      <c r="M45" s="63"/>
      <c r="N45" s="27"/>
      <c r="O45" s="27"/>
      <c r="P45" s="27"/>
      <c r="Q45" s="63"/>
      <c r="R45" s="60"/>
      <c r="S45" s="28"/>
      <c r="T45" s="70"/>
      <c r="U45" s="66"/>
      <c r="V45" s="6"/>
    </row>
    <row r="46" spans="2:22" ht="22.5" customHeight="1" thickBot="1">
      <c r="B46" s="7"/>
      <c r="C46" s="8"/>
      <c r="D46" s="8"/>
      <c r="E46" s="8"/>
      <c r="F46" s="8"/>
      <c r="G46" s="71"/>
      <c r="H46" s="71"/>
      <c r="I46" s="71"/>
      <c r="J46" s="71"/>
      <c r="K46" s="71"/>
      <c r="L46" s="71"/>
      <c r="M46" s="71"/>
      <c r="N46" s="78"/>
      <c r="O46" s="78"/>
      <c r="P46" s="78"/>
      <c r="Q46" s="78"/>
      <c r="R46" s="78"/>
      <c r="S46" s="78"/>
      <c r="T46" s="78"/>
      <c r="U46" s="71"/>
      <c r="V46" s="7"/>
    </row>
    <row r="47" ht="22.5" thickTop="1"/>
    <row r="48" ht="21.75">
      <c r="G48" s="3"/>
    </row>
    <row r="49" ht="21.75">
      <c r="G49" s="3"/>
    </row>
    <row r="50" ht="21.75">
      <c r="G50" s="3"/>
    </row>
  </sheetData>
  <sheetProtection/>
  <mergeCells count="3">
    <mergeCell ref="R38:T38"/>
    <mergeCell ref="R39:T39"/>
    <mergeCell ref="R40:T40"/>
  </mergeCells>
  <printOptions horizontalCentered="1"/>
  <pageMargins left="0.3937007874015748" right="0" top="0.31496062992125984" bottom="0.2755905511811024" header="0.2362204724409449" footer="0.1968503937007874"/>
  <pageSetup horizontalDpi="300" verticalDpi="300" orientation="portrait" paperSize="9" scale="8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AC50"/>
  <sheetViews>
    <sheetView zoomScalePageLayoutView="0" workbookViewId="0" topLeftCell="A19">
      <selection activeCell="J28" sqref="J28"/>
    </sheetView>
  </sheetViews>
  <sheetFormatPr defaultColWidth="9.140625" defaultRowHeight="21.75"/>
  <cols>
    <col min="1" max="1" width="2.00390625" style="0" customWidth="1"/>
    <col min="2" max="2" width="0.42578125" style="0" customWidth="1"/>
    <col min="3" max="3" width="4.7109375" style="0" customWidth="1"/>
    <col min="4" max="4" width="6.8515625" style="0" customWidth="1"/>
    <col min="5" max="5" width="2.140625" style="0" customWidth="1"/>
    <col min="6" max="6" width="0.2890625" style="0" customWidth="1"/>
    <col min="7" max="7" width="5.7109375" style="0" customWidth="1"/>
    <col min="8" max="8" width="4.140625" style="0" customWidth="1"/>
    <col min="9" max="9" width="5.7109375" style="0" customWidth="1"/>
    <col min="10" max="10" width="4.8515625" style="0" customWidth="1"/>
    <col min="11" max="11" width="3.7109375" style="0" customWidth="1"/>
    <col min="12" max="12" width="11.7109375" style="0" customWidth="1"/>
    <col min="13" max="13" width="2.8515625" style="0" customWidth="1"/>
    <col min="14" max="15" width="11.140625" style="0" customWidth="1"/>
    <col min="16" max="16" width="6.7109375" style="0" customWidth="1"/>
    <col min="17" max="17" width="6.8515625" style="0" customWidth="1"/>
    <col min="18" max="18" width="10.8515625" style="0" customWidth="1"/>
    <col min="19" max="19" width="7.57421875" style="0" customWidth="1"/>
    <col min="20" max="20" width="8.8515625" style="0" customWidth="1"/>
    <col min="21" max="21" width="7.57421875" style="0" customWidth="1"/>
    <col min="22" max="22" width="0.42578125" style="0" customWidth="1"/>
    <col min="23" max="23" width="1.1484375" style="0" customWidth="1"/>
  </cols>
  <sheetData>
    <row r="1" spans="3:21" ht="6.75" customHeight="1" thickBo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2" ht="22.5" thickTop="1">
      <c r="B2" s="5"/>
      <c r="C2" s="9" t="s">
        <v>3</v>
      </c>
      <c r="D2" s="9"/>
      <c r="E2" s="35" t="s">
        <v>0</v>
      </c>
      <c r="F2" s="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4"/>
      <c r="V2" s="5"/>
    </row>
    <row r="3" spans="2:22" ht="21.75">
      <c r="B3" s="6"/>
      <c r="C3" s="1" t="s">
        <v>2</v>
      </c>
      <c r="D3" s="1"/>
      <c r="E3" s="36" t="s">
        <v>0</v>
      </c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5"/>
    </row>
    <row r="4" spans="2:22" ht="21" customHeight="1" thickBot="1">
      <c r="B4" s="6"/>
      <c r="C4" s="10" t="s">
        <v>1</v>
      </c>
      <c r="D4" s="11"/>
      <c r="E4" s="37" t="s">
        <v>0</v>
      </c>
      <c r="F4" s="12"/>
      <c r="G4" s="11" t="s">
        <v>108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6"/>
    </row>
    <row r="5" spans="2:22" ht="21" customHeight="1" thickTop="1">
      <c r="B5" s="6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2:29" ht="22.5" customHeight="1">
      <c r="B6" s="6"/>
      <c r="C6" s="3"/>
      <c r="D6" s="3"/>
      <c r="E6" s="3"/>
      <c r="F6" s="3"/>
      <c r="G6" s="30" t="s">
        <v>109</v>
      </c>
      <c r="H6" s="3"/>
      <c r="I6" s="3"/>
      <c r="J6" s="3"/>
      <c r="K6" s="3"/>
      <c r="L6" s="3"/>
      <c r="M6" s="3"/>
      <c r="N6" s="3"/>
      <c r="O6" s="3"/>
      <c r="P6" s="75" t="s">
        <v>4</v>
      </c>
      <c r="Q6" s="3"/>
      <c r="R6" s="74" t="str">
        <f>N7&amp;" m."</f>
        <v>1.2 m.</v>
      </c>
      <c r="S6" s="3"/>
      <c r="T6" s="3"/>
      <c r="U6" s="3"/>
      <c r="V6" s="6"/>
      <c r="Y6" s="75"/>
      <c r="Z6" s="3"/>
      <c r="AA6" s="74"/>
      <c r="AB6" s="3"/>
      <c r="AC6" s="3"/>
    </row>
    <row r="7" spans="2:29" ht="22.5" customHeight="1">
      <c r="B7" s="6"/>
      <c r="C7" s="3"/>
      <c r="D7" s="3"/>
      <c r="E7" s="3"/>
      <c r="F7" s="3"/>
      <c r="G7" s="3" t="s">
        <v>4</v>
      </c>
      <c r="H7" s="3"/>
      <c r="I7" s="3"/>
      <c r="J7" s="3"/>
      <c r="K7" s="15"/>
      <c r="L7" s="98" t="s">
        <v>49</v>
      </c>
      <c r="M7" s="4" t="s">
        <v>5</v>
      </c>
      <c r="N7" s="45">
        <v>1.2</v>
      </c>
      <c r="O7" s="3" t="s">
        <v>6</v>
      </c>
      <c r="P7" s="3"/>
      <c r="Q7" s="3"/>
      <c r="R7" s="3"/>
      <c r="S7" s="3"/>
      <c r="T7" s="23">
        <f>T15</f>
        <v>0.7535540501027942</v>
      </c>
      <c r="U7" s="3"/>
      <c r="V7" s="6"/>
      <c r="Y7" s="3"/>
      <c r="Z7" s="3"/>
      <c r="AA7" s="3"/>
      <c r="AB7" s="3"/>
      <c r="AC7" s="3"/>
    </row>
    <row r="8" spans="2:29" ht="22.5" customHeight="1">
      <c r="B8" s="6"/>
      <c r="C8" s="3"/>
      <c r="D8" s="3"/>
      <c r="E8" s="3"/>
      <c r="F8" s="3"/>
      <c r="G8" s="3" t="s">
        <v>7</v>
      </c>
      <c r="H8" s="3"/>
      <c r="I8" s="3"/>
      <c r="J8" s="3"/>
      <c r="K8" s="15"/>
      <c r="L8" s="98" t="s">
        <v>49</v>
      </c>
      <c r="M8" s="4" t="s">
        <v>5</v>
      </c>
      <c r="N8" s="45">
        <v>2</v>
      </c>
      <c r="O8" s="3" t="s">
        <v>6</v>
      </c>
      <c r="P8" s="3"/>
      <c r="Q8" s="3"/>
      <c r="R8" s="99" t="str">
        <f>T18&amp;"  Degree"</f>
        <v>37  Degree</v>
      </c>
      <c r="S8" s="3"/>
      <c r="T8" s="3"/>
      <c r="U8" s="3"/>
      <c r="V8" s="6"/>
      <c r="Y8" s="3"/>
      <c r="Z8" s="3"/>
      <c r="AA8" s="99"/>
      <c r="AB8" s="3"/>
      <c r="AC8" s="3"/>
    </row>
    <row r="9" spans="2:29" ht="22.5" customHeight="1">
      <c r="B9" s="6"/>
      <c r="C9" s="3"/>
      <c r="D9" s="3"/>
      <c r="E9" s="3"/>
      <c r="F9" s="3"/>
      <c r="G9" s="27" t="s">
        <v>43</v>
      </c>
      <c r="H9" s="3"/>
      <c r="I9" s="3"/>
      <c r="J9" s="3"/>
      <c r="K9" s="15"/>
      <c r="L9" s="100"/>
      <c r="M9" s="4"/>
      <c r="N9" s="100"/>
      <c r="O9" s="3"/>
      <c r="P9" s="3"/>
      <c r="Q9" s="3"/>
      <c r="R9" s="97">
        <f>T16</f>
        <v>1</v>
      </c>
      <c r="S9" s="3"/>
      <c r="T9" s="3"/>
      <c r="U9" s="3"/>
      <c r="V9" s="6"/>
      <c r="Y9" s="3"/>
      <c r="Z9" s="3"/>
      <c r="AA9" s="17"/>
      <c r="AB9" s="3"/>
      <c r="AC9" s="3"/>
    </row>
    <row r="10" spans="2:22" ht="22.5" customHeight="1">
      <c r="B10" s="6"/>
      <c r="C10" s="3"/>
      <c r="D10" s="3"/>
      <c r="E10" s="3"/>
      <c r="F10" s="3"/>
      <c r="G10" s="3" t="s">
        <v>107</v>
      </c>
      <c r="H10" s="3"/>
      <c r="I10" s="3"/>
      <c r="J10" s="76">
        <v>15</v>
      </c>
      <c r="K10" s="3" t="s">
        <v>110</v>
      </c>
      <c r="M10" s="4" t="s">
        <v>5</v>
      </c>
      <c r="N10" s="3" t="str">
        <f>J10&amp;"  kg/m2 x "&amp;N7&amp;" m."</f>
        <v>15  kg/m2 x 1.2 m.</v>
      </c>
      <c r="O10" s="3"/>
      <c r="P10" s="3"/>
      <c r="Q10" s="4"/>
      <c r="R10" s="3"/>
      <c r="S10" s="15" t="s">
        <v>5</v>
      </c>
      <c r="T10" s="100">
        <f>J10*N7</f>
        <v>18</v>
      </c>
      <c r="U10" s="17" t="s">
        <v>8</v>
      </c>
      <c r="V10" s="6"/>
    </row>
    <row r="11" spans="2:22" ht="22.5" customHeight="1">
      <c r="B11" s="6"/>
      <c r="C11" s="3"/>
      <c r="D11" s="3"/>
      <c r="E11" s="3"/>
      <c r="F11" s="3"/>
      <c r="G11" s="3" t="s">
        <v>104</v>
      </c>
      <c r="H11" s="3"/>
      <c r="I11" s="3"/>
      <c r="J11" s="83" t="str">
        <f>INDEX('Data Base'!A2:A35,'Main new'!$G$26)</f>
        <v>{}25x25x1.6</v>
      </c>
      <c r="K11" s="3"/>
      <c r="L11" s="3"/>
      <c r="M11" s="3"/>
      <c r="N11" s="3"/>
      <c r="O11" s="3"/>
      <c r="P11" s="3"/>
      <c r="Q11" s="4"/>
      <c r="R11" s="98"/>
      <c r="S11" s="15" t="s">
        <v>5</v>
      </c>
      <c r="T11" s="101">
        <f>R26</f>
        <v>1.12</v>
      </c>
      <c r="U11" s="17" t="s">
        <v>8</v>
      </c>
      <c r="V11" s="6"/>
    </row>
    <row r="12" spans="2:22" ht="22.5" customHeight="1">
      <c r="B12" s="6"/>
      <c r="C12" s="3"/>
      <c r="D12" s="3"/>
      <c r="E12" s="3"/>
      <c r="F12" s="3"/>
      <c r="G12" s="3" t="s">
        <v>10</v>
      </c>
      <c r="H12" s="3"/>
      <c r="I12" s="3"/>
      <c r="J12" s="76">
        <v>30</v>
      </c>
      <c r="K12" s="3" t="s">
        <v>110</v>
      </c>
      <c r="L12" s="3"/>
      <c r="M12" s="4" t="s">
        <v>5</v>
      </c>
      <c r="N12" s="3" t="str">
        <f>J12&amp;"  kg/m2 x "&amp;N7&amp;" m."</f>
        <v>30  kg/m2 x 1.2 m.</v>
      </c>
      <c r="O12" s="3"/>
      <c r="P12" s="3"/>
      <c r="Q12" s="3"/>
      <c r="R12" s="3"/>
      <c r="S12" s="15" t="s">
        <v>5</v>
      </c>
      <c r="T12" s="73">
        <f>J12*N7</f>
        <v>36</v>
      </c>
      <c r="U12" s="17" t="s">
        <v>8</v>
      </c>
      <c r="V12" s="6"/>
    </row>
    <row r="13" spans="2:22" ht="21.75" customHeight="1" thickBot="1">
      <c r="B13" s="6"/>
      <c r="C13" s="3"/>
      <c r="D13" s="3"/>
      <c r="E13" s="3"/>
      <c r="F13" s="3"/>
      <c r="G13" s="3" t="s">
        <v>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17" t="s">
        <v>113</v>
      </c>
      <c r="S13" s="15" t="s">
        <v>5</v>
      </c>
      <c r="T13" s="50">
        <f>SUM(T10:T12)</f>
        <v>55.120000000000005</v>
      </c>
      <c r="U13" s="17" t="s">
        <v>8</v>
      </c>
      <c r="V13" s="6"/>
    </row>
    <row r="14" spans="2:22" ht="21.75" customHeight="1" thickTop="1">
      <c r="B14" s="6"/>
      <c r="C14" s="3"/>
      <c r="D14" s="3"/>
      <c r="E14" s="3"/>
      <c r="F14" s="3"/>
      <c r="G14" s="27" t="s">
        <v>70</v>
      </c>
      <c r="H14" s="3"/>
      <c r="I14" s="3"/>
      <c r="J14" s="3"/>
      <c r="K14" s="3"/>
      <c r="L14" s="3"/>
      <c r="M14" s="3"/>
      <c r="N14" s="76">
        <v>5</v>
      </c>
      <c r="O14" s="3" t="s">
        <v>71</v>
      </c>
      <c r="P14" s="3"/>
      <c r="Q14" s="3"/>
      <c r="R14" s="3"/>
      <c r="S14" s="15" t="s">
        <v>5</v>
      </c>
      <c r="T14" s="23">
        <f>IF(0&lt;N14,50,0)+IF(9&lt;N14,30,0)+IF(19&lt;N14,40,0)+IF(39&lt;N14,40,0)</f>
        <v>50</v>
      </c>
      <c r="U14" s="17" t="s">
        <v>44</v>
      </c>
      <c r="V14" s="6"/>
    </row>
    <row r="15" spans="2:22" ht="21.75" customHeight="1">
      <c r="B15" s="6"/>
      <c r="C15" s="3"/>
      <c r="D15" s="3"/>
      <c r="E15" s="3"/>
      <c r="F15" s="3"/>
      <c r="G15" s="27"/>
      <c r="H15" s="3"/>
      <c r="I15" s="3"/>
      <c r="J15" s="3"/>
      <c r="K15" s="3"/>
      <c r="L15" s="3"/>
      <c r="M15" s="3"/>
      <c r="N15" s="3"/>
      <c r="O15" s="3"/>
      <c r="P15" s="3"/>
      <c r="Q15" s="98" t="s">
        <v>49</v>
      </c>
      <c r="R15" s="19" t="s">
        <v>50</v>
      </c>
      <c r="S15" s="15" t="s">
        <v>5</v>
      </c>
      <c r="T15" s="108">
        <f>TAN(T17*PI()/180)*T16</f>
        <v>0.7535540501027942</v>
      </c>
      <c r="U15" s="3" t="s">
        <v>6</v>
      </c>
      <c r="V15" s="6"/>
    </row>
    <row r="16" spans="2:22" ht="21.75" customHeight="1">
      <c r="B16" s="6"/>
      <c r="C16" s="3"/>
      <c r="D16" s="3"/>
      <c r="E16" s="3"/>
      <c r="F16" s="3"/>
      <c r="G16" s="27"/>
      <c r="H16" s="3"/>
      <c r="I16" s="3"/>
      <c r="J16" s="3"/>
      <c r="K16" s="3"/>
      <c r="L16" s="3"/>
      <c r="M16" s="3"/>
      <c r="N16" s="3"/>
      <c r="O16" s="3"/>
      <c r="P16" s="3"/>
      <c r="Q16" s="98" t="s">
        <v>49</v>
      </c>
      <c r="R16" s="19" t="s">
        <v>51</v>
      </c>
      <c r="S16" s="15" t="s">
        <v>5</v>
      </c>
      <c r="T16" s="77">
        <v>1</v>
      </c>
      <c r="U16" s="3" t="s">
        <v>6</v>
      </c>
      <c r="V16" s="6"/>
    </row>
    <row r="17" spans="2:25" ht="26.25" customHeight="1">
      <c r="B17" s="6"/>
      <c r="C17" s="3"/>
      <c r="D17" s="3"/>
      <c r="E17" s="3"/>
      <c r="F17" s="3"/>
      <c r="I17" s="3"/>
      <c r="J17" s="3"/>
      <c r="K17" s="4"/>
      <c r="M17" s="3"/>
      <c r="O17" s="18" t="s">
        <v>106</v>
      </c>
      <c r="P17" s="4" t="s">
        <v>5</v>
      </c>
      <c r="Q17" s="49" t="str">
        <f>"tan -1  ( "&amp;T15&amp;" / "&amp;T16&amp;" )"</f>
        <v>tan -1  ( 0.753554050102794 / 1 )</v>
      </c>
      <c r="S17" s="15" t="s">
        <v>5</v>
      </c>
      <c r="T17" s="109">
        <v>37</v>
      </c>
      <c r="U17" s="28" t="s">
        <v>45</v>
      </c>
      <c r="V17" s="6"/>
      <c r="Y17" s="29"/>
    </row>
    <row r="18" spans="2:25" ht="26.25" customHeight="1">
      <c r="B18" s="6"/>
      <c r="C18" s="3"/>
      <c r="E18" s="3"/>
      <c r="F18" s="3"/>
      <c r="I18" s="3"/>
      <c r="J18" s="3"/>
      <c r="K18" s="4"/>
      <c r="L18" s="46"/>
      <c r="M18" s="3"/>
      <c r="N18" s="3"/>
      <c r="P18" s="4"/>
      <c r="Q18" s="17" t="s">
        <v>39</v>
      </c>
      <c r="R18" s="18" t="s">
        <v>106</v>
      </c>
      <c r="S18" s="15" t="s">
        <v>5</v>
      </c>
      <c r="T18" s="47">
        <f>ROUND(T17,0)</f>
        <v>37</v>
      </c>
      <c r="U18" s="28" t="s">
        <v>45</v>
      </c>
      <c r="V18" s="6"/>
      <c r="Y18" s="29"/>
    </row>
    <row r="19" spans="2:22" ht="22.5" customHeight="1">
      <c r="B19" s="6"/>
      <c r="C19" s="3"/>
      <c r="D19" s="3"/>
      <c r="E19" s="3"/>
      <c r="F19" s="3"/>
      <c r="G19" s="3" t="s">
        <v>105</v>
      </c>
      <c r="H19" s="3"/>
      <c r="I19" s="3"/>
      <c r="J19" s="3"/>
      <c r="K19" s="3"/>
      <c r="L19" s="3"/>
      <c r="M19" s="4" t="s">
        <v>5</v>
      </c>
      <c r="N19" s="3" t="str">
        <f>"( "&amp;T14&amp;" x "&amp;T18&amp;" / 45) kg/m"</f>
        <v>( 50 x 37 / 45) kg/m</v>
      </c>
      <c r="O19" s="3"/>
      <c r="P19" s="3"/>
      <c r="Q19" s="3"/>
      <c r="R19" s="3"/>
      <c r="S19" s="15" t="s">
        <v>5</v>
      </c>
      <c r="T19" s="23">
        <f>ROUND(T14*T18/45,2)</f>
        <v>41.11</v>
      </c>
      <c r="U19" s="17" t="s">
        <v>8</v>
      </c>
      <c r="V19" s="6"/>
    </row>
    <row r="20" spans="2:22" ht="22.5" customHeight="1">
      <c r="B20" s="6"/>
      <c r="C20" s="3"/>
      <c r="D20" s="3"/>
      <c r="E20" s="3"/>
      <c r="F20" s="3"/>
      <c r="G20" s="3" t="s">
        <v>11</v>
      </c>
      <c r="H20" s="4" t="s">
        <v>5</v>
      </c>
      <c r="I20" s="3" t="s">
        <v>46</v>
      </c>
      <c r="J20" s="3"/>
      <c r="K20" s="3"/>
      <c r="L20" s="3"/>
      <c r="M20" s="4" t="s">
        <v>5</v>
      </c>
      <c r="N20" s="102" t="str">
        <f>T13&amp;" x sin "&amp;T18</f>
        <v>55.12 x sin 37</v>
      </c>
      <c r="O20" s="3"/>
      <c r="P20" s="3"/>
      <c r="Q20" s="3"/>
      <c r="R20" s="3"/>
      <c r="S20" s="15" t="s">
        <v>5</v>
      </c>
      <c r="T20" s="23">
        <f>T13*SIN(T18*PI()/180)</f>
        <v>33.17204407614091</v>
      </c>
      <c r="U20" s="17" t="s">
        <v>8</v>
      </c>
      <c r="V20" s="6"/>
    </row>
    <row r="21" spans="2:22" ht="22.5" customHeight="1">
      <c r="B21" s="6"/>
      <c r="C21" s="3"/>
      <c r="D21" s="3"/>
      <c r="E21" s="3"/>
      <c r="F21" s="3"/>
      <c r="G21" s="3" t="s">
        <v>12</v>
      </c>
      <c r="H21" s="4" t="s">
        <v>5</v>
      </c>
      <c r="I21" s="3" t="s">
        <v>13</v>
      </c>
      <c r="J21" s="3"/>
      <c r="K21" s="3"/>
      <c r="L21" s="3"/>
      <c r="M21" s="4" t="s">
        <v>5</v>
      </c>
      <c r="N21" s="3" t="str">
        <f>T13&amp;" x cos "&amp;T18&amp;" + "&amp;T19</f>
        <v>55.12 x cos 37 + 41.11</v>
      </c>
      <c r="O21" s="3"/>
      <c r="P21" s="3"/>
      <c r="Q21" s="3"/>
      <c r="R21" s="3"/>
      <c r="S21" s="15" t="s">
        <v>5</v>
      </c>
      <c r="T21" s="23">
        <f>ROUND($T$13*COS($T$18*PI()/180)+$T$19,2)</f>
        <v>85.13</v>
      </c>
      <c r="U21" s="17" t="s">
        <v>8</v>
      </c>
      <c r="V21" s="6"/>
    </row>
    <row r="22" spans="2:22" ht="22.5" customHeight="1">
      <c r="B22" s="6"/>
      <c r="C22" s="3"/>
      <c r="D22" s="3"/>
      <c r="E22" s="3"/>
      <c r="F22" s="3"/>
      <c r="G22" s="19" t="s">
        <v>14</v>
      </c>
      <c r="H22" s="4" t="s">
        <v>5</v>
      </c>
      <c r="I22" s="3" t="s">
        <v>48</v>
      </c>
      <c r="J22" s="3"/>
      <c r="K22" s="3"/>
      <c r="L22" s="19" t="s">
        <v>14</v>
      </c>
      <c r="M22" s="4" t="s">
        <v>5</v>
      </c>
      <c r="N22" s="3" t="str">
        <f>"1/8 x "&amp;T21&amp;" x "&amp;N8&amp;"^2"</f>
        <v>1/8 x 85.13 x 2^2</v>
      </c>
      <c r="O22" s="3"/>
      <c r="P22" s="3"/>
      <c r="Q22" s="3"/>
      <c r="R22" s="3"/>
      <c r="S22" s="15" t="s">
        <v>5</v>
      </c>
      <c r="T22" s="100">
        <f>ROUND(1/8*T21*$N$8^2,2)</f>
        <v>42.57</v>
      </c>
      <c r="U22" s="17" t="s">
        <v>16</v>
      </c>
      <c r="V22" s="6"/>
    </row>
    <row r="23" spans="2:22" ht="22.5" customHeight="1">
      <c r="B23" s="6"/>
      <c r="C23" s="3"/>
      <c r="D23" s="3"/>
      <c r="E23" s="3"/>
      <c r="F23" s="3"/>
      <c r="G23" s="19" t="s">
        <v>15</v>
      </c>
      <c r="H23" s="4" t="s">
        <v>5</v>
      </c>
      <c r="I23" s="3" t="s">
        <v>66</v>
      </c>
      <c r="J23" s="3"/>
      <c r="K23" s="3"/>
      <c r="L23" s="19" t="s">
        <v>15</v>
      </c>
      <c r="M23" s="4" t="s">
        <v>5</v>
      </c>
      <c r="N23" s="3" t="str">
        <f>"1/8 x "&amp;T22&amp;" x "&amp;N8&amp;"^2"</f>
        <v>1/8 x 42.57 x 2^2</v>
      </c>
      <c r="O23" s="3"/>
      <c r="P23" s="3"/>
      <c r="Q23" s="3"/>
      <c r="R23" s="3"/>
      <c r="S23" s="15" t="s">
        <v>5</v>
      </c>
      <c r="T23" s="23">
        <f>ROUND(1/8*T20*$N$8^2,2)</f>
        <v>16.59</v>
      </c>
      <c r="U23" s="17" t="s">
        <v>16</v>
      </c>
      <c r="V23" s="6"/>
    </row>
    <row r="24" spans="2:22" ht="22.5" customHeight="1">
      <c r="B24" s="6"/>
      <c r="C24" s="3"/>
      <c r="D24" s="3"/>
      <c r="E24" s="3"/>
      <c r="F24" s="3"/>
      <c r="G24" s="34" t="s">
        <v>30</v>
      </c>
      <c r="H24" s="34"/>
      <c r="I24" s="34"/>
      <c r="J24" s="38"/>
      <c r="K24" s="38"/>
      <c r="L24" s="39" t="s">
        <v>32</v>
      </c>
      <c r="M24" s="40" t="s">
        <v>5</v>
      </c>
      <c r="N24" s="41">
        <v>5000</v>
      </c>
      <c r="O24" s="42" t="s">
        <v>67</v>
      </c>
      <c r="P24" s="39" t="s">
        <v>31</v>
      </c>
      <c r="Q24" s="43" t="s">
        <v>5</v>
      </c>
      <c r="R24" s="41">
        <v>2520</v>
      </c>
      <c r="S24" s="42" t="s">
        <v>67</v>
      </c>
      <c r="T24" s="3"/>
      <c r="U24" s="17"/>
      <c r="V24" s="6"/>
    </row>
    <row r="25" spans="2:22" ht="22.5" customHeight="1">
      <c r="B25" s="6"/>
      <c r="C25" s="3"/>
      <c r="D25" s="3"/>
      <c r="E25" s="3"/>
      <c r="F25" s="3"/>
      <c r="G25" s="38"/>
      <c r="H25" s="38"/>
      <c r="I25" s="38"/>
      <c r="J25" s="38"/>
      <c r="K25" s="38"/>
      <c r="L25" s="39" t="s">
        <v>40</v>
      </c>
      <c r="M25" s="40" t="s">
        <v>5</v>
      </c>
      <c r="N25" s="41" t="s">
        <v>41</v>
      </c>
      <c r="O25" s="42"/>
      <c r="P25" s="39"/>
      <c r="Q25" s="43"/>
      <c r="R25" s="41"/>
      <c r="S25" s="42"/>
      <c r="T25" s="3"/>
      <c r="U25" s="17"/>
      <c r="V25" s="6"/>
    </row>
    <row r="26" spans="2:25" ht="18" customHeight="1">
      <c r="B26" s="6"/>
      <c r="C26" s="3"/>
      <c r="D26" s="3"/>
      <c r="E26" s="3"/>
      <c r="F26" s="3"/>
      <c r="G26" s="81">
        <v>34</v>
      </c>
      <c r="H26" s="82"/>
      <c r="I26" s="82"/>
      <c r="J26" s="82"/>
      <c r="K26" s="82"/>
      <c r="L26" s="82"/>
      <c r="M26" s="83"/>
      <c r="N26" s="83"/>
      <c r="O26" s="83"/>
      <c r="P26" s="84" t="s">
        <v>17</v>
      </c>
      <c r="Q26" s="85" t="s">
        <v>5</v>
      </c>
      <c r="R26" s="112">
        <f>INDEX('Data Base'!B$2:B$35,'Main new'!$G$26)</f>
        <v>1.12</v>
      </c>
      <c r="S26" s="86" t="s">
        <v>8</v>
      </c>
      <c r="T26" s="3"/>
      <c r="U26" s="3"/>
      <c r="V26" s="6"/>
      <c r="Y26" s="25"/>
    </row>
    <row r="27" spans="2:28" ht="22.5" customHeight="1">
      <c r="B27" s="6"/>
      <c r="C27" s="3"/>
      <c r="D27" s="3"/>
      <c r="E27" s="3"/>
      <c r="F27" s="3"/>
      <c r="G27" s="87"/>
      <c r="H27" s="38"/>
      <c r="I27" s="38"/>
      <c r="J27" s="38"/>
      <c r="K27" s="38"/>
      <c r="L27" s="44" t="s">
        <v>18</v>
      </c>
      <c r="M27" s="43" t="s">
        <v>5</v>
      </c>
      <c r="N27" s="38">
        <f>INDEX('Data Base'!D2:D35,'Main new'!$G$26)</f>
        <v>1.28</v>
      </c>
      <c r="O27" s="38" t="s">
        <v>68</v>
      </c>
      <c r="P27" s="44" t="s">
        <v>42</v>
      </c>
      <c r="Q27" s="43" t="s">
        <v>5</v>
      </c>
      <c r="R27" s="38">
        <f>INDEX('Data Base'!E2:E35,'Main new'!$G$26)</f>
        <v>1.28</v>
      </c>
      <c r="S27" s="88" t="s">
        <v>68</v>
      </c>
      <c r="T27" s="19"/>
      <c r="U27" s="19"/>
      <c r="V27" s="6"/>
      <c r="Y27" s="19"/>
      <c r="Z27" s="15"/>
      <c r="AA27" s="21"/>
      <c r="AB27" s="3"/>
    </row>
    <row r="28" spans="2:28" ht="22.5" customHeight="1">
      <c r="B28" s="6"/>
      <c r="C28" s="3"/>
      <c r="D28" s="3"/>
      <c r="E28" s="3"/>
      <c r="F28" s="3"/>
      <c r="G28" s="87"/>
      <c r="H28" s="38"/>
      <c r="I28" s="38"/>
      <c r="J28" s="38"/>
      <c r="K28" s="38"/>
      <c r="L28" s="44" t="s">
        <v>19</v>
      </c>
      <c r="M28" s="43" t="s">
        <v>5</v>
      </c>
      <c r="N28" s="38">
        <f>INDEX('Data Base'!F2:F35,'Main new'!$G$26)</f>
        <v>1.02</v>
      </c>
      <c r="O28" s="38" t="s">
        <v>69</v>
      </c>
      <c r="P28" s="44" t="s">
        <v>33</v>
      </c>
      <c r="Q28" s="43" t="s">
        <v>5</v>
      </c>
      <c r="R28" s="38">
        <f>INDEX('Data Base'!G2:G35,'Main new'!$G$26)</f>
        <v>1.02</v>
      </c>
      <c r="S28" s="88" t="s">
        <v>69</v>
      </c>
      <c r="T28" s="3"/>
      <c r="U28" s="3"/>
      <c r="V28" s="6"/>
      <c r="Y28" s="19"/>
      <c r="Z28" s="15"/>
      <c r="AA28" s="21"/>
      <c r="AB28" s="3"/>
    </row>
    <row r="29" spans="2:28" ht="22.5" customHeight="1">
      <c r="B29" s="6"/>
      <c r="C29" s="3"/>
      <c r="D29" s="3"/>
      <c r="E29" s="3"/>
      <c r="F29" s="3"/>
      <c r="G29" s="89"/>
      <c r="H29" s="90"/>
      <c r="I29" s="90"/>
      <c r="J29" s="90"/>
      <c r="K29" s="90"/>
      <c r="L29" s="91" t="s">
        <v>63</v>
      </c>
      <c r="M29" s="90" t="s">
        <v>5</v>
      </c>
      <c r="N29" s="92">
        <f>INDEX('Data Base'!C2:C35,'Main new'!$G$26)</f>
        <v>1.432</v>
      </c>
      <c r="O29" s="90" t="s">
        <v>64</v>
      </c>
      <c r="P29" s="93" t="s">
        <v>101</v>
      </c>
      <c r="Q29" s="94" t="s">
        <v>5</v>
      </c>
      <c r="R29" s="92">
        <f>INDEX('Data Base'!I2:I35,'Main new'!$G$26)</f>
        <v>2.5</v>
      </c>
      <c r="S29" s="95" t="s">
        <v>102</v>
      </c>
      <c r="T29" s="72">
        <f>INDEX('Data Base'!J2:J35,'Main new'!$G$26)</f>
        <v>1.6</v>
      </c>
      <c r="U29" s="3"/>
      <c r="V29" s="6"/>
      <c r="Y29" s="19"/>
      <c r="Z29" s="15"/>
      <c r="AA29" s="20"/>
      <c r="AB29" s="17"/>
    </row>
    <row r="30" spans="2:28" ht="22.5" customHeight="1">
      <c r="B30" s="6"/>
      <c r="C30" s="3"/>
      <c r="D30" s="3"/>
      <c r="E30" s="3"/>
      <c r="F30" s="3"/>
      <c r="G30" s="3"/>
      <c r="H30" s="3"/>
      <c r="I30" s="3"/>
      <c r="J30" s="3"/>
      <c r="K30" s="3"/>
      <c r="L30" s="19" t="s">
        <v>25</v>
      </c>
      <c r="M30" s="15" t="s">
        <v>5</v>
      </c>
      <c r="N30" s="3" t="s">
        <v>27</v>
      </c>
      <c r="O30" s="4"/>
      <c r="P30" s="4"/>
      <c r="Q30" s="15" t="s">
        <v>5</v>
      </c>
      <c r="R30" s="103">
        <f>0.6*R24</f>
        <v>1512</v>
      </c>
      <c r="S30" s="17" t="s">
        <v>29</v>
      </c>
      <c r="T30" s="3"/>
      <c r="U30" s="3"/>
      <c r="V30" s="6"/>
      <c r="Y30" s="19"/>
      <c r="Z30" s="15"/>
      <c r="AA30" s="21"/>
      <c r="AB30" s="3"/>
    </row>
    <row r="31" spans="2:22" ht="22.5" customHeight="1">
      <c r="B31" s="6"/>
      <c r="C31" s="3"/>
      <c r="D31" s="3"/>
      <c r="E31" s="3"/>
      <c r="F31" s="3"/>
      <c r="G31" s="34" t="s">
        <v>115</v>
      </c>
      <c r="H31" s="3"/>
      <c r="I31" s="3"/>
      <c r="J31" s="3"/>
      <c r="K31" s="3"/>
      <c r="L31" s="19" t="s">
        <v>26</v>
      </c>
      <c r="M31" s="15" t="s">
        <v>5</v>
      </c>
      <c r="N31" s="3" t="s">
        <v>28</v>
      </c>
      <c r="O31" s="3"/>
      <c r="P31" s="3"/>
      <c r="Q31" s="15" t="s">
        <v>5</v>
      </c>
      <c r="R31" s="100">
        <f>0.75*R24</f>
        <v>1890</v>
      </c>
      <c r="S31" s="17" t="s">
        <v>29</v>
      </c>
      <c r="T31" s="3"/>
      <c r="U31" s="3"/>
      <c r="V31" s="6"/>
    </row>
    <row r="32" spans="2:28" ht="22.5" customHeight="1">
      <c r="B32" s="6"/>
      <c r="C32" s="3"/>
      <c r="D32" s="3"/>
      <c r="E32" s="3"/>
      <c r="F32" s="3"/>
      <c r="G32" s="3" t="s">
        <v>20</v>
      </c>
      <c r="H32" s="3"/>
      <c r="I32" s="15" t="s">
        <v>24</v>
      </c>
      <c r="J32" s="3" t="s">
        <v>21</v>
      </c>
      <c r="K32" s="3"/>
      <c r="L32" s="3"/>
      <c r="M32" s="15" t="s">
        <v>5</v>
      </c>
      <c r="N32" s="3" t="s">
        <v>22</v>
      </c>
      <c r="O32" s="15" t="s">
        <v>24</v>
      </c>
      <c r="P32" s="3" t="s">
        <v>23</v>
      </c>
      <c r="Q32" s="3"/>
      <c r="R32" s="3"/>
      <c r="S32" s="3"/>
      <c r="T32" s="3"/>
      <c r="U32" s="3"/>
      <c r="V32" s="6"/>
      <c r="Y32" s="19"/>
      <c r="Z32" s="15"/>
      <c r="AA32" s="21"/>
      <c r="AB32" s="3"/>
    </row>
    <row r="33" spans="2:22" ht="22.5" customHeight="1">
      <c r="B33" s="6"/>
      <c r="C33" s="3"/>
      <c r="D33" s="3"/>
      <c r="E33" s="3"/>
      <c r="F33" s="3"/>
      <c r="G33" s="3"/>
      <c r="H33" s="3"/>
      <c r="I33" s="15"/>
      <c r="J33" s="3"/>
      <c r="K33" s="3"/>
      <c r="L33" s="3"/>
      <c r="M33" s="15" t="s">
        <v>5</v>
      </c>
      <c r="N33" s="3" t="str">
        <f>"( "&amp;T22&amp;"x 100/"&amp;N28&amp;" ) / "&amp;R30</f>
        <v>( 42.57x 100/1.02 ) / 1512</v>
      </c>
      <c r="O33" s="3"/>
      <c r="P33" s="15" t="s">
        <v>24</v>
      </c>
      <c r="Q33" s="3" t="str">
        <f>"( "&amp;T23&amp;"x100/"&amp;R28&amp;" ) / "&amp;R31</f>
        <v>( 16.59x100/1.02 ) / 1890</v>
      </c>
      <c r="R33" s="3"/>
      <c r="S33" s="3"/>
      <c r="T33" s="3"/>
      <c r="U33" s="3"/>
      <c r="V33" s="6"/>
    </row>
    <row r="34" spans="2:22" ht="22.5" customHeight="1"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17" t="s">
        <v>5</v>
      </c>
      <c r="N34" s="24" t="str">
        <f>ROUND(($T$22*100)/$N$28/$R$30,3)&amp;"  +   "&amp;ROUND(($T$23*100)/$R$28/$R$31,3)&amp;"    =    "&amp;ROUND(($T$22*100)/$N$28/$R$30+($T$23*100)/$R$28/$R$31,3)</f>
        <v>2.76  +   0.861    =    3.621</v>
      </c>
      <c r="O34" s="15"/>
      <c r="P34" s="17" t="s">
        <v>114</v>
      </c>
      <c r="R34" s="59" t="str">
        <f>IF(ROUND(($T$22*100)/$N$28/$R$30+($T$23*100)/$R$28/$R$31,3)&lt;1,"O.K."," No Pass")</f>
        <v> No Pass</v>
      </c>
      <c r="S34" s="104"/>
      <c r="T34" s="100"/>
      <c r="U34" s="25"/>
      <c r="V34" s="6"/>
    </row>
    <row r="35" spans="2:22" ht="19.5" customHeight="1">
      <c r="B35" s="6"/>
      <c r="C35" s="3"/>
      <c r="D35" s="3"/>
      <c r="E35" s="3"/>
      <c r="F35" s="3"/>
      <c r="G35" s="34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/>
    </row>
    <row r="36" spans="2:22" ht="22.5" customHeight="1">
      <c r="B36" s="6"/>
      <c r="C36" s="3"/>
      <c r="D36" s="3"/>
      <c r="E36" s="3"/>
      <c r="F36" s="3"/>
      <c r="G36" s="3"/>
      <c r="H36" s="17"/>
      <c r="I36" s="3"/>
      <c r="J36" s="4"/>
      <c r="K36" s="3"/>
      <c r="L36" s="33" t="s">
        <v>38</v>
      </c>
      <c r="M36" s="15" t="s">
        <v>5</v>
      </c>
      <c r="N36" s="3" t="s">
        <v>36</v>
      </c>
      <c r="O36" s="3"/>
      <c r="P36" s="3"/>
      <c r="Q36" s="15" t="s">
        <v>5</v>
      </c>
      <c r="R36" s="3" t="str">
        <f>N8*100&amp;" / "&amp;"360"</f>
        <v>200 / 360</v>
      </c>
      <c r="S36" s="15" t="s">
        <v>5</v>
      </c>
      <c r="T36" s="23">
        <f>N8*100/360</f>
        <v>0.5555555555555556</v>
      </c>
      <c r="U36" s="3" t="s">
        <v>37</v>
      </c>
      <c r="V36" s="6"/>
    </row>
    <row r="37" spans="2:22" ht="22.5" customHeight="1">
      <c r="B37" s="6"/>
      <c r="C37" s="3"/>
      <c r="D37" s="3"/>
      <c r="E37" s="3"/>
      <c r="F37" s="3"/>
      <c r="G37" s="27"/>
      <c r="H37" s="27"/>
      <c r="I37" s="27"/>
      <c r="J37" s="27"/>
      <c r="K37" s="27"/>
      <c r="L37" s="62" t="s">
        <v>47</v>
      </c>
      <c r="M37" s="63" t="s">
        <v>5</v>
      </c>
      <c r="N37" s="27" t="s">
        <v>127</v>
      </c>
      <c r="O37" s="27"/>
      <c r="P37" s="27"/>
      <c r="Q37" s="63"/>
      <c r="R37" s="27"/>
      <c r="S37" s="27"/>
      <c r="T37" s="27"/>
      <c r="U37" s="27"/>
      <c r="V37" s="6"/>
    </row>
    <row r="38" spans="2:22" ht="22.5" customHeight="1">
      <c r="B38" s="6"/>
      <c r="C38" s="3"/>
      <c r="D38" s="3"/>
      <c r="E38" s="3"/>
      <c r="F38" s="3"/>
      <c r="G38" s="27"/>
      <c r="H38" s="27"/>
      <c r="I38" s="27"/>
      <c r="J38" s="27"/>
      <c r="K38" s="27"/>
      <c r="L38" s="27"/>
      <c r="M38" s="63" t="s">
        <v>5</v>
      </c>
      <c r="N38" s="105">
        <f>(5*T21/100*(N8*100)^4)/(384*2.04*10^6*N27)</f>
        <v>6.792056015114379</v>
      </c>
      <c r="O38" s="28" t="s">
        <v>34</v>
      </c>
      <c r="P38" s="65">
        <f>T36</f>
        <v>0.5555555555555556</v>
      </c>
      <c r="Q38" s="79" t="str">
        <f>IF(P38&gt;N38,"O.K.","No Pass")</f>
        <v>No Pass</v>
      </c>
      <c r="R38" s="205" t="s">
        <v>130</v>
      </c>
      <c r="S38" s="205"/>
      <c r="T38" s="205"/>
      <c r="U38" s="66"/>
      <c r="V38" s="6"/>
    </row>
    <row r="39" spans="2:22" ht="22.5" customHeight="1">
      <c r="B39" s="6"/>
      <c r="C39" s="3"/>
      <c r="D39" s="3"/>
      <c r="E39" s="3"/>
      <c r="F39" s="3"/>
      <c r="G39" s="27"/>
      <c r="H39" s="27"/>
      <c r="I39" s="27"/>
      <c r="J39" s="27"/>
      <c r="K39" s="27"/>
      <c r="L39" s="62" t="s">
        <v>112</v>
      </c>
      <c r="M39" s="63" t="s">
        <v>5</v>
      </c>
      <c r="N39" s="27" t="s">
        <v>128</v>
      </c>
      <c r="O39" s="27"/>
      <c r="P39" s="27"/>
      <c r="Q39" s="63"/>
      <c r="R39" s="205" t="s">
        <v>131</v>
      </c>
      <c r="S39" s="205"/>
      <c r="T39" s="205"/>
      <c r="U39" s="27"/>
      <c r="V39" s="6"/>
    </row>
    <row r="40" spans="2:22" ht="22.5" customHeight="1">
      <c r="B40" s="6"/>
      <c r="C40" s="3"/>
      <c r="D40" s="3"/>
      <c r="E40" s="3"/>
      <c r="F40" s="3"/>
      <c r="G40" s="27"/>
      <c r="H40" s="27"/>
      <c r="I40" s="27"/>
      <c r="J40" s="27"/>
      <c r="K40" s="27"/>
      <c r="L40" s="27"/>
      <c r="M40" s="63" t="s">
        <v>5</v>
      </c>
      <c r="N40" s="105">
        <f>(5*T20/100*(N8*100)^4)/(384*2.04*10^6*R27)</f>
        <v>2.646615546822415</v>
      </c>
      <c r="O40" s="28" t="s">
        <v>34</v>
      </c>
      <c r="P40" s="65">
        <f>T36</f>
        <v>0.5555555555555556</v>
      </c>
      <c r="Q40" s="79" t="str">
        <f>IF(P40&gt;N40,"O.K.","No Pass")</f>
        <v>No Pass</v>
      </c>
      <c r="R40" s="205" t="s">
        <v>132</v>
      </c>
      <c r="S40" s="205"/>
      <c r="T40" s="205"/>
      <c r="U40" s="66"/>
      <c r="V40" s="6"/>
    </row>
    <row r="41" spans="2:22" ht="22.5" customHeight="1">
      <c r="B41" s="6"/>
      <c r="C41" s="3"/>
      <c r="D41" s="3"/>
      <c r="E41" s="3"/>
      <c r="F41" s="3"/>
      <c r="G41" s="67" t="s">
        <v>52</v>
      </c>
      <c r="H41" s="27"/>
      <c r="I41" s="27"/>
      <c r="J41" s="27"/>
      <c r="K41" s="27"/>
      <c r="L41" s="68" t="s">
        <v>53</v>
      </c>
      <c r="M41" s="63" t="s">
        <v>5</v>
      </c>
      <c r="N41" s="27" t="str">
        <f>"1/2 x "&amp;T21&amp;" x "&amp;N8</f>
        <v>1/2 x 85.13 x 2</v>
      </c>
      <c r="O41" s="27"/>
      <c r="P41" s="27"/>
      <c r="Q41" s="63" t="s">
        <v>5</v>
      </c>
      <c r="R41" s="101">
        <f>0.5*T21*N8</f>
        <v>85.13</v>
      </c>
      <c r="S41" s="28" t="s">
        <v>54</v>
      </c>
      <c r="T41" s="27"/>
      <c r="U41" s="27"/>
      <c r="V41" s="6"/>
    </row>
    <row r="42" spans="2:22" ht="22.5" customHeight="1">
      <c r="B42" s="6"/>
      <c r="C42" s="3"/>
      <c r="D42" s="3"/>
      <c r="E42" s="3"/>
      <c r="F42" s="3"/>
      <c r="G42" s="62" t="s">
        <v>55</v>
      </c>
      <c r="H42" s="27"/>
      <c r="I42" s="27"/>
      <c r="J42" s="27"/>
      <c r="K42" s="27"/>
      <c r="L42" s="69"/>
      <c r="M42" s="63" t="s">
        <v>5</v>
      </c>
      <c r="N42" s="106" t="s">
        <v>56</v>
      </c>
      <c r="O42" s="27"/>
      <c r="P42" s="27"/>
      <c r="Q42" s="63" t="s">
        <v>5</v>
      </c>
      <c r="R42" s="65">
        <f>0.4*R24</f>
        <v>1008</v>
      </c>
      <c r="S42" s="28" t="s">
        <v>29</v>
      </c>
      <c r="T42" s="27"/>
      <c r="U42" s="27"/>
      <c r="V42" s="6"/>
    </row>
    <row r="43" spans="2:22" ht="22.5" customHeight="1">
      <c r="B43" s="6"/>
      <c r="C43" s="3"/>
      <c r="D43" s="3"/>
      <c r="E43" s="3"/>
      <c r="F43" s="3"/>
      <c r="G43" s="27" t="s">
        <v>57</v>
      </c>
      <c r="H43" s="27"/>
      <c r="I43" s="27"/>
      <c r="J43" s="27"/>
      <c r="K43" s="27"/>
      <c r="L43" s="68" t="s">
        <v>60</v>
      </c>
      <c r="M43" s="63" t="s">
        <v>5</v>
      </c>
      <c r="N43" s="27" t="s">
        <v>61</v>
      </c>
      <c r="O43" s="27"/>
      <c r="P43" s="27"/>
      <c r="Q43" s="63" t="s">
        <v>5</v>
      </c>
      <c r="R43" s="101">
        <f>R41/N29</f>
        <v>59.44832402234637</v>
      </c>
      <c r="S43" s="28" t="s">
        <v>29</v>
      </c>
      <c r="T43" s="107" t="s">
        <v>65</v>
      </c>
      <c r="U43" s="59" t="str">
        <f>IF(R43&lt;R42,"O.K."," No Pass")</f>
        <v>O.K.</v>
      </c>
      <c r="V43" s="6"/>
    </row>
    <row r="44" spans="2:22" ht="18.75" customHeight="1">
      <c r="B44" s="6"/>
      <c r="C44" s="3"/>
      <c r="D44" s="3"/>
      <c r="E44" s="3"/>
      <c r="F44" s="3"/>
      <c r="G44" s="27" t="s">
        <v>58</v>
      </c>
      <c r="H44" s="27"/>
      <c r="I44" s="27"/>
      <c r="J44" s="27"/>
      <c r="K44" s="27"/>
      <c r="L44" s="68" t="s">
        <v>59</v>
      </c>
      <c r="M44" s="63" t="s">
        <v>5</v>
      </c>
      <c r="N44" s="27" t="s">
        <v>62</v>
      </c>
      <c r="O44" s="27"/>
      <c r="P44" s="27"/>
      <c r="Q44" s="63" t="s">
        <v>5</v>
      </c>
      <c r="R44" s="101">
        <f>R41/(R29*T29)</f>
        <v>21.2825</v>
      </c>
      <c r="S44" s="28" t="s">
        <v>29</v>
      </c>
      <c r="T44" s="107" t="s">
        <v>65</v>
      </c>
      <c r="U44" s="59" t="str">
        <f>IF(R44&lt;R42,"O.K."," No Pass")</f>
        <v>O.K.</v>
      </c>
      <c r="V44" s="6"/>
    </row>
    <row r="45" spans="2:22" ht="18.75" customHeight="1">
      <c r="B45" s="6"/>
      <c r="C45" s="3"/>
      <c r="D45" s="3"/>
      <c r="E45" s="3"/>
      <c r="F45" s="3"/>
      <c r="G45" s="27"/>
      <c r="H45" s="27"/>
      <c r="I45" s="27"/>
      <c r="J45" s="27"/>
      <c r="K45" s="27"/>
      <c r="L45" s="68"/>
      <c r="M45" s="63"/>
      <c r="N45" s="27"/>
      <c r="O45" s="27"/>
      <c r="P45" s="27"/>
      <c r="Q45" s="63"/>
      <c r="R45" s="101"/>
      <c r="S45" s="28"/>
      <c r="T45" s="107"/>
      <c r="U45" s="66"/>
      <c r="V45" s="6"/>
    </row>
    <row r="46" spans="2:22" ht="22.5" customHeight="1" thickBot="1">
      <c r="B46" s="7"/>
      <c r="C46" s="8"/>
      <c r="D46" s="8"/>
      <c r="E46" s="8"/>
      <c r="F46" s="8"/>
      <c r="G46" s="71"/>
      <c r="H46" s="71"/>
      <c r="I46" s="71"/>
      <c r="J46" s="71"/>
      <c r="K46" s="71"/>
      <c r="L46" s="71"/>
      <c r="M46" s="71"/>
      <c r="N46" s="78"/>
      <c r="O46" s="78"/>
      <c r="P46" s="78"/>
      <c r="Q46" s="78"/>
      <c r="R46" s="78"/>
      <c r="S46" s="78"/>
      <c r="T46" s="78"/>
      <c r="U46" s="71"/>
      <c r="V46" s="7"/>
    </row>
    <row r="47" ht="22.5" thickTop="1"/>
    <row r="48" ht="21.75">
      <c r="G48" s="3"/>
    </row>
    <row r="49" ht="21.75">
      <c r="G49" s="3"/>
    </row>
    <row r="50" ht="21.75">
      <c r="G50" s="3"/>
    </row>
  </sheetData>
  <sheetProtection/>
  <mergeCells count="3">
    <mergeCell ref="R38:T38"/>
    <mergeCell ref="R39:T39"/>
    <mergeCell ref="R40:T40"/>
  </mergeCells>
  <printOptions horizontalCentered="1"/>
  <pageMargins left="0.3937007874015748" right="0" top="0.31496062992125984" bottom="0.2755905511811024" header="0.2362204724409449" footer="0.1968503937007874"/>
  <pageSetup horizontalDpi="300" verticalDpi="300" orientation="portrait" paperSize="9" scale="8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1:AC40"/>
  <sheetViews>
    <sheetView zoomScalePageLayoutView="0" workbookViewId="0" topLeftCell="A13">
      <selection activeCell="L30" sqref="L30"/>
    </sheetView>
  </sheetViews>
  <sheetFormatPr defaultColWidth="9.140625" defaultRowHeight="21.75"/>
  <cols>
    <col min="1" max="1" width="2.00390625" style="0" customWidth="1"/>
    <col min="2" max="2" width="0.42578125" style="0" customWidth="1"/>
    <col min="3" max="3" width="4.7109375" style="0" customWidth="1"/>
    <col min="4" max="4" width="6.8515625" style="0" customWidth="1"/>
    <col min="5" max="5" width="2.140625" style="0" customWidth="1"/>
    <col min="6" max="6" width="0.2890625" style="0" customWidth="1"/>
    <col min="7" max="7" width="5.7109375" style="0" customWidth="1"/>
    <col min="8" max="8" width="4.140625" style="0" customWidth="1"/>
    <col min="9" max="9" width="5.7109375" style="0" customWidth="1"/>
    <col min="10" max="10" width="4.8515625" style="0" customWidth="1"/>
    <col min="11" max="11" width="3.7109375" style="0" customWidth="1"/>
    <col min="12" max="12" width="11.7109375" style="0" customWidth="1"/>
    <col min="13" max="13" width="2.8515625" style="0" customWidth="1"/>
    <col min="14" max="15" width="11.140625" style="0" customWidth="1"/>
    <col min="16" max="16" width="6.7109375" style="0" customWidth="1"/>
    <col min="17" max="17" width="6.8515625" style="0" customWidth="1"/>
    <col min="18" max="18" width="10.8515625" style="0" customWidth="1"/>
    <col min="19" max="19" width="7.57421875" style="0" customWidth="1"/>
    <col min="20" max="20" width="8.8515625" style="0" customWidth="1"/>
    <col min="21" max="21" width="7.57421875" style="0" customWidth="1"/>
    <col min="22" max="22" width="0.42578125" style="0" customWidth="1"/>
    <col min="23" max="23" width="1.1484375" style="0" customWidth="1"/>
  </cols>
  <sheetData>
    <row r="1" spans="3:21" ht="51" customHeight="1" thickBo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2" ht="22.5" thickTop="1">
      <c r="B2" s="5"/>
      <c r="C2" s="9" t="s">
        <v>3</v>
      </c>
      <c r="D2" s="9"/>
      <c r="E2" s="35" t="s">
        <v>0</v>
      </c>
      <c r="F2" s="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4"/>
      <c r="V2" s="5"/>
    </row>
    <row r="3" spans="2:22" ht="21.75">
      <c r="B3" s="6"/>
      <c r="C3" s="1" t="s">
        <v>2</v>
      </c>
      <c r="D3" s="1"/>
      <c r="E3" s="36" t="s">
        <v>0</v>
      </c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5"/>
    </row>
    <row r="4" spans="2:22" ht="21" customHeight="1" thickBot="1">
      <c r="B4" s="6"/>
      <c r="C4" s="10" t="s">
        <v>1</v>
      </c>
      <c r="D4" s="11"/>
      <c r="E4" s="37" t="s">
        <v>0</v>
      </c>
      <c r="F4" s="12"/>
      <c r="G4" s="11" t="s">
        <v>119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6"/>
    </row>
    <row r="5" spans="2:22" ht="21" customHeight="1" thickTop="1">
      <c r="B5" s="6"/>
      <c r="C5" s="3"/>
      <c r="D5" s="3"/>
      <c r="E5" s="4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2:29" ht="22.5" customHeight="1">
      <c r="B6" s="6"/>
      <c r="C6" s="3"/>
      <c r="D6" s="3"/>
      <c r="E6" s="3"/>
      <c r="F6" s="3"/>
      <c r="G6" s="30"/>
      <c r="H6" s="3"/>
      <c r="I6" s="3"/>
      <c r="J6" s="3"/>
      <c r="K6" s="3"/>
      <c r="L6" s="3"/>
      <c r="M6" s="3"/>
      <c r="N6" s="3"/>
      <c r="O6" s="3"/>
      <c r="P6" s="75"/>
      <c r="Q6" s="110">
        <f>ROUND(T14*COS(T15*PI()/180),2)</f>
        <v>2.8</v>
      </c>
      <c r="R6" t="s">
        <v>120</v>
      </c>
      <c r="S6" s="3"/>
      <c r="T6" s="3"/>
      <c r="U6" s="3"/>
      <c r="V6" s="6"/>
      <c r="Y6" s="75"/>
      <c r="Z6" s="3"/>
      <c r="AA6" s="74"/>
      <c r="AB6" s="3"/>
      <c r="AC6" s="3"/>
    </row>
    <row r="7" spans="2:29" ht="22.5" customHeight="1">
      <c r="B7" s="6"/>
      <c r="C7" s="3"/>
      <c r="D7" s="3"/>
      <c r="E7" s="3"/>
      <c r="F7" s="3"/>
      <c r="G7" s="3"/>
      <c r="H7" s="3"/>
      <c r="I7" s="3"/>
      <c r="J7" s="3"/>
      <c r="K7" s="15"/>
      <c r="L7" s="98"/>
      <c r="M7" s="4"/>
      <c r="N7" s="45"/>
      <c r="O7" s="3"/>
      <c r="P7" s="3"/>
      <c r="Q7" s="3"/>
      <c r="R7" s="3"/>
      <c r="S7" s="3"/>
      <c r="T7" s="23">
        <f>T13</f>
        <v>2.6374391753597797</v>
      </c>
      <c r="U7" s="3"/>
      <c r="V7" s="6"/>
      <c r="Y7" s="3"/>
      <c r="Z7" s="3"/>
      <c r="AA7" s="3"/>
      <c r="AB7" s="3"/>
      <c r="AC7" s="3"/>
    </row>
    <row r="8" spans="2:29" ht="22.5" customHeight="1">
      <c r="B8" s="6"/>
      <c r="C8" s="3"/>
      <c r="D8" s="3"/>
      <c r="E8" s="3"/>
      <c r="F8" s="3"/>
      <c r="G8" s="3"/>
      <c r="H8" s="3"/>
      <c r="I8" s="3"/>
      <c r="J8" s="3"/>
      <c r="K8" s="15"/>
      <c r="L8" s="98"/>
      <c r="M8" s="4"/>
      <c r="N8" s="45"/>
      <c r="O8" s="3"/>
      <c r="P8" s="3"/>
      <c r="Q8" s="3"/>
      <c r="R8" s="99" t="str">
        <f>T15&amp;"  Degree"</f>
        <v>37  Degree</v>
      </c>
      <c r="S8" s="3"/>
      <c r="T8" s="3"/>
      <c r="U8" s="3"/>
      <c r="V8" s="6"/>
      <c r="Y8" s="3"/>
      <c r="Z8" s="3"/>
      <c r="AA8" s="99"/>
      <c r="AB8" s="3"/>
      <c r="AC8" s="3"/>
    </row>
    <row r="9" spans="2:29" ht="22.5" customHeight="1">
      <c r="B9" s="6"/>
      <c r="C9" s="3"/>
      <c r="D9" s="3"/>
      <c r="E9" s="3"/>
      <c r="F9" s="3"/>
      <c r="G9" s="27" t="s">
        <v>43</v>
      </c>
      <c r="H9" s="3"/>
      <c r="I9" s="3"/>
      <c r="J9" s="3"/>
      <c r="K9" s="15"/>
      <c r="L9" s="100"/>
      <c r="M9" s="4"/>
      <c r="N9" s="100"/>
      <c r="O9" s="3"/>
      <c r="P9" s="3"/>
      <c r="Q9" s="3"/>
      <c r="R9" s="97">
        <f>T14</f>
        <v>3.5</v>
      </c>
      <c r="S9" s="3"/>
      <c r="T9" s="3"/>
      <c r="U9" s="3"/>
      <c r="V9" s="6"/>
      <c r="Y9" s="3"/>
      <c r="Z9" s="3"/>
      <c r="AA9" s="17"/>
      <c r="AB9" s="3"/>
      <c r="AC9" s="3"/>
    </row>
    <row r="10" spans="2:22" ht="22.5" customHeight="1">
      <c r="B10" s="6"/>
      <c r="C10" s="3"/>
      <c r="D10" s="3"/>
      <c r="E10" s="3"/>
      <c r="F10" s="3"/>
      <c r="G10" s="3" t="s">
        <v>107</v>
      </c>
      <c r="H10" s="3"/>
      <c r="I10" s="3"/>
      <c r="J10" s="76">
        <f>110*1.2</f>
        <v>132</v>
      </c>
      <c r="K10" s="3" t="s">
        <v>118</v>
      </c>
      <c r="M10" s="4"/>
      <c r="N10" s="3"/>
      <c r="O10" s="3"/>
      <c r="P10" s="3"/>
      <c r="Q10" s="4"/>
      <c r="R10" s="3"/>
      <c r="S10" s="15" t="s">
        <v>5</v>
      </c>
      <c r="T10" s="101">
        <f>J10</f>
        <v>132</v>
      </c>
      <c r="U10" s="17" t="s">
        <v>8</v>
      </c>
      <c r="V10" s="6"/>
    </row>
    <row r="11" spans="2:22" ht="22.5" customHeight="1">
      <c r="B11" s="6"/>
      <c r="C11" s="3"/>
      <c r="D11" s="3"/>
      <c r="E11" s="3"/>
      <c r="F11" s="3"/>
      <c r="G11" s="3" t="s">
        <v>121</v>
      </c>
      <c r="H11" s="3"/>
      <c r="I11" s="3"/>
      <c r="J11" s="83" t="str">
        <f>INDEX('Data Base'!A2:A35,'Main จันทัน'!$G$20)</f>
        <v>C 75 x 35 x 15 x 2.3</v>
      </c>
      <c r="K11" s="3"/>
      <c r="L11" s="3"/>
      <c r="M11" s="3"/>
      <c r="N11" s="3"/>
      <c r="O11" s="3"/>
      <c r="P11" s="3"/>
      <c r="Q11" s="4"/>
      <c r="R11" s="98"/>
      <c r="S11" s="15" t="s">
        <v>5</v>
      </c>
      <c r="T11" s="101">
        <f>R20</f>
        <v>5.78</v>
      </c>
      <c r="U11" s="17" t="s">
        <v>8</v>
      </c>
      <c r="V11" s="6"/>
    </row>
    <row r="12" spans="2:22" ht="21.75" customHeight="1" thickBot="1">
      <c r="B12" s="6"/>
      <c r="C12" s="3"/>
      <c r="D12" s="3"/>
      <c r="E12" s="3"/>
      <c r="F12" s="3"/>
      <c r="G12" s="3" t="s">
        <v>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17" t="s">
        <v>113</v>
      </c>
      <c r="S12" s="15" t="s">
        <v>5</v>
      </c>
      <c r="T12" s="50">
        <f>SUM(T10:T11)</f>
        <v>137.78</v>
      </c>
      <c r="U12" s="17" t="s">
        <v>8</v>
      </c>
      <c r="V12" s="6"/>
    </row>
    <row r="13" spans="2:22" ht="21.75" customHeight="1" thickTop="1">
      <c r="B13" s="6"/>
      <c r="C13" s="3"/>
      <c r="D13" s="3"/>
      <c r="E13" s="3"/>
      <c r="F13" s="3"/>
      <c r="G13" s="27"/>
      <c r="H13" s="3"/>
      <c r="I13" s="3"/>
      <c r="J13" s="3"/>
      <c r="K13" s="3"/>
      <c r="L13" s="3"/>
      <c r="M13" s="3"/>
      <c r="N13" s="3"/>
      <c r="O13" s="3"/>
      <c r="P13" s="3"/>
      <c r="Q13" s="98" t="s">
        <v>49</v>
      </c>
      <c r="R13" s="19" t="s">
        <v>50</v>
      </c>
      <c r="S13" s="15" t="s">
        <v>5</v>
      </c>
      <c r="T13" s="111">
        <f>TAN(T15*PI()/180)*T14</f>
        <v>2.6374391753597797</v>
      </c>
      <c r="U13" s="3" t="s">
        <v>6</v>
      </c>
      <c r="V13" s="6"/>
    </row>
    <row r="14" spans="2:22" ht="21.75" customHeight="1">
      <c r="B14" s="6"/>
      <c r="C14" s="3"/>
      <c r="D14" s="3"/>
      <c r="E14" s="3"/>
      <c r="F14" s="3"/>
      <c r="G14" s="27"/>
      <c r="H14" s="3"/>
      <c r="I14" s="3"/>
      <c r="J14" s="3"/>
      <c r="K14" s="3"/>
      <c r="L14" s="3"/>
      <c r="M14" s="3"/>
      <c r="N14" s="3"/>
      <c r="O14" s="3"/>
      <c r="P14" s="3"/>
      <c r="Q14" s="98" t="s">
        <v>49</v>
      </c>
      <c r="R14" s="19" t="s">
        <v>51</v>
      </c>
      <c r="S14" s="15" t="s">
        <v>5</v>
      </c>
      <c r="T14" s="77">
        <v>3.5</v>
      </c>
      <c r="U14" s="3" t="s">
        <v>6</v>
      </c>
      <c r="V14" s="6"/>
    </row>
    <row r="15" spans="2:25" ht="26.25" customHeight="1">
      <c r="B15" s="6"/>
      <c r="C15" s="3"/>
      <c r="D15" s="3"/>
      <c r="E15" s="3"/>
      <c r="F15" s="3"/>
      <c r="I15" s="3"/>
      <c r="J15" s="3"/>
      <c r="K15" s="4"/>
      <c r="M15" s="3"/>
      <c r="P15" s="4"/>
      <c r="Q15" s="49"/>
      <c r="R15" s="18" t="s">
        <v>106</v>
      </c>
      <c r="S15" s="15" t="s">
        <v>5</v>
      </c>
      <c r="T15" s="109">
        <v>37</v>
      </c>
      <c r="U15" s="28" t="s">
        <v>45</v>
      </c>
      <c r="V15" s="6"/>
      <c r="Y15" s="29"/>
    </row>
    <row r="16" spans="2:22" ht="22.5" customHeight="1">
      <c r="B16" s="6"/>
      <c r="C16" s="3"/>
      <c r="D16" s="3"/>
      <c r="E16" s="3"/>
      <c r="F16" s="3"/>
      <c r="G16" s="3" t="s">
        <v>12</v>
      </c>
      <c r="H16" s="4" t="s">
        <v>5</v>
      </c>
      <c r="I16" s="3" t="s">
        <v>13</v>
      </c>
      <c r="J16" s="3"/>
      <c r="K16" s="3"/>
      <c r="L16" s="3"/>
      <c r="M16" s="4" t="s">
        <v>5</v>
      </c>
      <c r="N16" s="3" t="str">
        <f>T12&amp;" x cos "&amp;T15</f>
        <v>137.78 x cos 37</v>
      </c>
      <c r="O16" s="3"/>
      <c r="P16" s="3"/>
      <c r="Q16" s="3"/>
      <c r="R16" s="3"/>
      <c r="S16" s="15" t="s">
        <v>5</v>
      </c>
      <c r="T16" s="23">
        <f>ROUND($T$12*COS($T$15*PI()/180),2)</f>
        <v>110.04</v>
      </c>
      <c r="U16" s="17" t="s">
        <v>8</v>
      </c>
      <c r="V16" s="6"/>
    </row>
    <row r="17" spans="2:22" ht="22.5" customHeight="1">
      <c r="B17" s="6"/>
      <c r="C17" s="3"/>
      <c r="D17" s="3"/>
      <c r="E17" s="3"/>
      <c r="F17" s="3"/>
      <c r="G17" s="19" t="s">
        <v>14</v>
      </c>
      <c r="H17" s="4" t="s">
        <v>5</v>
      </c>
      <c r="I17" s="3" t="s">
        <v>48</v>
      </c>
      <c r="J17" s="3"/>
      <c r="K17" s="3"/>
      <c r="L17" s="19" t="s">
        <v>14</v>
      </c>
      <c r="M17" s="4" t="s">
        <v>5</v>
      </c>
      <c r="N17" s="3" t="str">
        <f>"1/8 x "&amp;T16&amp;" x "&amp;N8&amp;"^2"</f>
        <v>1/8 x 110.04 x ^2</v>
      </c>
      <c r="O17" s="3"/>
      <c r="P17" s="3"/>
      <c r="Q17" s="3"/>
      <c r="R17" s="3"/>
      <c r="S17" s="15" t="s">
        <v>5</v>
      </c>
      <c r="T17" s="100">
        <f>ROUND(1/8*T16*$T$14^2,2)</f>
        <v>168.5</v>
      </c>
      <c r="U17" s="17" t="s">
        <v>16</v>
      </c>
      <c r="V17" s="6"/>
    </row>
    <row r="18" spans="2:22" ht="22.5" customHeight="1">
      <c r="B18" s="6"/>
      <c r="C18" s="3"/>
      <c r="D18" s="3"/>
      <c r="E18" s="3"/>
      <c r="F18" s="3"/>
      <c r="G18" s="34" t="s">
        <v>30</v>
      </c>
      <c r="H18" s="34"/>
      <c r="I18" s="34"/>
      <c r="J18" s="38"/>
      <c r="K18" s="38"/>
      <c r="L18" s="39" t="s">
        <v>32</v>
      </c>
      <c r="M18" s="40" t="s">
        <v>5</v>
      </c>
      <c r="N18" s="41">
        <v>5000</v>
      </c>
      <c r="O18" s="42" t="s">
        <v>67</v>
      </c>
      <c r="P18" s="39" t="s">
        <v>31</v>
      </c>
      <c r="Q18" s="43" t="s">
        <v>5</v>
      </c>
      <c r="R18" s="41">
        <v>2520</v>
      </c>
      <c r="S18" s="42" t="s">
        <v>67</v>
      </c>
      <c r="T18" s="3"/>
      <c r="U18" s="17"/>
      <c r="V18" s="6"/>
    </row>
    <row r="19" spans="2:22" ht="22.5" customHeight="1">
      <c r="B19" s="6"/>
      <c r="C19" s="3"/>
      <c r="D19" s="3"/>
      <c r="E19" s="3"/>
      <c r="F19" s="3"/>
      <c r="G19" s="38"/>
      <c r="H19" s="38"/>
      <c r="I19" s="38"/>
      <c r="J19" s="38"/>
      <c r="K19" s="38"/>
      <c r="L19" s="39" t="s">
        <v>40</v>
      </c>
      <c r="M19" s="40" t="s">
        <v>5</v>
      </c>
      <c r="N19" s="41" t="s">
        <v>41</v>
      </c>
      <c r="O19" s="42"/>
      <c r="P19" s="39"/>
      <c r="Q19" s="43"/>
      <c r="R19" s="41"/>
      <c r="S19" s="42"/>
      <c r="T19" s="3"/>
      <c r="U19" s="17"/>
      <c r="V19" s="6"/>
    </row>
    <row r="20" spans="2:25" ht="18" customHeight="1">
      <c r="B20" s="6"/>
      <c r="C20" s="3"/>
      <c r="D20" s="3"/>
      <c r="E20" s="3"/>
      <c r="F20" s="3"/>
      <c r="G20" s="81">
        <v>2</v>
      </c>
      <c r="H20" s="82"/>
      <c r="I20" s="82"/>
      <c r="J20" s="82"/>
      <c r="K20" s="82"/>
      <c r="L20" s="82"/>
      <c r="M20" s="83"/>
      <c r="N20" s="83"/>
      <c r="O20" s="83"/>
      <c r="P20" s="84" t="s">
        <v>17</v>
      </c>
      <c r="Q20" s="85" t="s">
        <v>5</v>
      </c>
      <c r="R20" s="112">
        <f>INDEX('Data Base'!B$2:B$35,'Main จันทัน'!$G$20)*2</f>
        <v>5.78</v>
      </c>
      <c r="S20" s="86" t="s">
        <v>8</v>
      </c>
      <c r="T20" s="3"/>
      <c r="U20" s="3"/>
      <c r="V20" s="6"/>
      <c r="Y20" s="25"/>
    </row>
    <row r="21" spans="2:28" ht="22.5" customHeight="1">
      <c r="B21" s="6"/>
      <c r="C21" s="3"/>
      <c r="D21" s="3"/>
      <c r="E21" s="3"/>
      <c r="F21" s="3"/>
      <c r="G21" s="87"/>
      <c r="H21" s="38"/>
      <c r="I21" s="38"/>
      <c r="J21" s="38"/>
      <c r="K21" s="38"/>
      <c r="L21" s="44" t="s">
        <v>18</v>
      </c>
      <c r="M21" s="43" t="s">
        <v>5</v>
      </c>
      <c r="N21" s="38">
        <f>INDEX('Data Base'!D2:D35,'Main จันทัน'!$G$20)*2</f>
        <v>62</v>
      </c>
      <c r="O21" s="38" t="s">
        <v>68</v>
      </c>
      <c r="P21" s="44" t="s">
        <v>42</v>
      </c>
      <c r="Q21" s="43" t="s">
        <v>5</v>
      </c>
      <c r="R21" s="38">
        <f>INDEX('Data Base'!E2:E35,'Main จันทัน'!$G$20)*2</f>
        <v>13.16</v>
      </c>
      <c r="S21" s="88" t="s">
        <v>68</v>
      </c>
      <c r="T21" s="19"/>
      <c r="U21" s="19"/>
      <c r="V21" s="6"/>
      <c r="Y21" s="19"/>
      <c r="Z21" s="15"/>
      <c r="AA21" s="21"/>
      <c r="AB21" s="3"/>
    </row>
    <row r="22" spans="2:28" ht="22.5" customHeight="1">
      <c r="B22" s="6"/>
      <c r="C22" s="3"/>
      <c r="D22" s="3"/>
      <c r="E22" s="3"/>
      <c r="F22" s="3"/>
      <c r="G22" s="87"/>
      <c r="H22" s="38"/>
      <c r="I22" s="38"/>
      <c r="J22" s="38"/>
      <c r="K22" s="38"/>
      <c r="L22" s="44" t="s">
        <v>19</v>
      </c>
      <c r="M22" s="43" t="s">
        <v>5</v>
      </c>
      <c r="N22" s="38">
        <f>INDEX('Data Base'!F2:F35,'Main จันทัน'!$G$20)*2</f>
        <v>16.56</v>
      </c>
      <c r="O22" s="38" t="s">
        <v>69</v>
      </c>
      <c r="P22" s="44" t="s">
        <v>33</v>
      </c>
      <c r="Q22" s="43" t="s">
        <v>5</v>
      </c>
      <c r="R22" s="38">
        <f>INDEX('Data Base'!G2:G35,'Main จันทัน'!$G$20)*2</f>
        <v>5.96</v>
      </c>
      <c r="S22" s="88" t="s">
        <v>69</v>
      </c>
      <c r="T22" s="3"/>
      <c r="U22" s="3"/>
      <c r="V22" s="6"/>
      <c r="Y22" s="19"/>
      <c r="Z22" s="15"/>
      <c r="AA22" s="21"/>
      <c r="AB22" s="3"/>
    </row>
    <row r="23" spans="2:28" ht="22.5" customHeight="1">
      <c r="B23" s="6"/>
      <c r="C23" s="3"/>
      <c r="D23" s="3"/>
      <c r="E23" s="3"/>
      <c r="F23" s="3"/>
      <c r="G23" s="89"/>
      <c r="H23" s="90"/>
      <c r="I23" s="90"/>
      <c r="J23" s="90"/>
      <c r="K23" s="90"/>
      <c r="L23" s="91" t="s">
        <v>63</v>
      </c>
      <c r="M23" s="90" t="s">
        <v>5</v>
      </c>
      <c r="N23" s="92">
        <f>INDEX('Data Base'!C2:C35,'Main จันทัน'!$G$20)*2</f>
        <v>7.354</v>
      </c>
      <c r="O23" s="90" t="s">
        <v>64</v>
      </c>
      <c r="P23" s="93" t="s">
        <v>101</v>
      </c>
      <c r="Q23" s="94" t="s">
        <v>5</v>
      </c>
      <c r="R23" s="92">
        <f>INDEX('Data Base'!I2:I35,'Main จันทัน'!$G$20)*2</f>
        <v>7.5</v>
      </c>
      <c r="S23" s="95" t="s">
        <v>102</v>
      </c>
      <c r="T23" s="72">
        <f>INDEX('Data Base'!J2:J35,'Main จันทัน'!$G$20)</f>
        <v>0.23</v>
      </c>
      <c r="U23" s="3"/>
      <c r="V23" s="6"/>
      <c r="Y23" s="19"/>
      <c r="Z23" s="15"/>
      <c r="AA23" s="20"/>
      <c r="AB23" s="17"/>
    </row>
    <row r="24" spans="2:22" ht="19.5" customHeight="1">
      <c r="B24" s="6"/>
      <c r="C24" s="3"/>
      <c r="D24" s="3"/>
      <c r="E24" s="3"/>
      <c r="F24" s="3"/>
      <c r="G24" s="34" t="s">
        <v>35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</row>
    <row r="25" spans="2:22" ht="22.5" customHeight="1">
      <c r="B25" s="6"/>
      <c r="C25" s="3"/>
      <c r="D25" s="3"/>
      <c r="E25" s="3"/>
      <c r="F25" s="3"/>
      <c r="G25" s="3"/>
      <c r="H25" s="17"/>
      <c r="I25" s="3"/>
      <c r="J25" s="4"/>
      <c r="K25" s="3"/>
      <c r="L25" s="33" t="s">
        <v>38</v>
      </c>
      <c r="M25" s="15" t="s">
        <v>5</v>
      </c>
      <c r="N25" s="3" t="s">
        <v>36</v>
      </c>
      <c r="O25" s="3"/>
      <c r="P25" s="3"/>
      <c r="Q25" s="15" t="s">
        <v>5</v>
      </c>
      <c r="R25" s="3" t="str">
        <f>Q6*100&amp;" / "&amp;"360"</f>
        <v>280 / 360</v>
      </c>
      <c r="S25" s="15" t="s">
        <v>5</v>
      </c>
      <c r="T25" s="23">
        <f>Q6*100/360</f>
        <v>0.7777777777777778</v>
      </c>
      <c r="U25" s="3" t="s">
        <v>37</v>
      </c>
      <c r="V25" s="6"/>
    </row>
    <row r="26" spans="2:22" ht="22.5" customHeight="1">
      <c r="B26" s="6"/>
      <c r="C26" s="3"/>
      <c r="D26" s="3"/>
      <c r="E26" s="3"/>
      <c r="F26" s="3"/>
      <c r="G26" s="27"/>
      <c r="H26" s="27"/>
      <c r="I26" s="27"/>
      <c r="J26" s="27"/>
      <c r="K26" s="27"/>
      <c r="L26" s="62" t="s">
        <v>47</v>
      </c>
      <c r="M26" s="63" t="s">
        <v>5</v>
      </c>
      <c r="N26" s="27" t="s">
        <v>127</v>
      </c>
      <c r="O26" s="27"/>
      <c r="P26" s="27"/>
      <c r="Q26" s="63"/>
      <c r="R26" s="27"/>
      <c r="S26" s="27"/>
      <c r="T26" s="27"/>
      <c r="U26" s="27"/>
      <c r="V26" s="6"/>
    </row>
    <row r="27" spans="2:22" ht="22.5" customHeight="1">
      <c r="B27" s="6"/>
      <c r="C27" s="3"/>
      <c r="D27" s="3"/>
      <c r="E27" s="3"/>
      <c r="F27" s="3"/>
      <c r="G27" s="27"/>
      <c r="H27" s="27"/>
      <c r="I27" s="27"/>
      <c r="J27" s="27"/>
      <c r="K27" s="27"/>
      <c r="L27" s="27"/>
      <c r="M27" s="63" t="s">
        <v>5</v>
      </c>
      <c r="N27" s="105">
        <f>(5*T16/100*(Q6*100)^4)/(384*2.04*10^6*N21)</f>
        <v>0.6963051865907655</v>
      </c>
      <c r="O27" s="28" t="s">
        <v>34</v>
      </c>
      <c r="P27" s="65">
        <f>T25</f>
        <v>0.7777777777777778</v>
      </c>
      <c r="Q27" s="79" t="str">
        <f>IF(P27&gt;N27,"O.K.","No Pass")</f>
        <v>O.K.</v>
      </c>
      <c r="S27" s="27"/>
      <c r="T27" s="27"/>
      <c r="U27" s="66"/>
      <c r="V27" s="6"/>
    </row>
    <row r="28" spans="2:22" ht="22.5" customHeight="1">
      <c r="B28" s="6"/>
      <c r="C28" s="3"/>
      <c r="D28" s="3"/>
      <c r="E28" s="3"/>
      <c r="F28" s="3"/>
      <c r="G28" s="67" t="s">
        <v>52</v>
      </c>
      <c r="H28" s="27"/>
      <c r="I28" s="27"/>
      <c r="J28" s="27"/>
      <c r="K28" s="27"/>
      <c r="L28" s="68" t="s">
        <v>53</v>
      </c>
      <c r="M28" s="63" t="s">
        <v>5</v>
      </c>
      <c r="N28" s="27" t="str">
        <f>"1/2 x "&amp;T16&amp;" x "&amp;Q6</f>
        <v>1/2 x 110.04 x 2.8</v>
      </c>
      <c r="O28" s="27"/>
      <c r="P28" s="27"/>
      <c r="Q28" s="63" t="s">
        <v>5</v>
      </c>
      <c r="R28" s="101">
        <f>0.5*T16*Q6</f>
        <v>154.056</v>
      </c>
      <c r="S28" s="28" t="s">
        <v>54</v>
      </c>
      <c r="T28" s="27"/>
      <c r="U28" s="27"/>
      <c r="V28" s="6"/>
    </row>
    <row r="29" spans="2:22" ht="22.5" customHeight="1">
      <c r="B29" s="6"/>
      <c r="C29" s="3"/>
      <c r="D29" s="3"/>
      <c r="E29" s="3"/>
      <c r="F29" s="3"/>
      <c r="G29" s="62" t="s">
        <v>55</v>
      </c>
      <c r="H29" s="27"/>
      <c r="I29" s="27"/>
      <c r="J29" s="27"/>
      <c r="K29" s="27"/>
      <c r="L29" s="69"/>
      <c r="M29" s="63" t="s">
        <v>5</v>
      </c>
      <c r="N29" s="106" t="s">
        <v>56</v>
      </c>
      <c r="O29" s="27"/>
      <c r="P29" s="27"/>
      <c r="Q29" s="63" t="s">
        <v>5</v>
      </c>
      <c r="R29" s="65">
        <f>0.4*R18</f>
        <v>1008</v>
      </c>
      <c r="S29" s="28" t="s">
        <v>29</v>
      </c>
      <c r="T29" s="27"/>
      <c r="U29" s="27"/>
      <c r="V29" s="6"/>
    </row>
    <row r="30" spans="2:22" ht="22.5" customHeight="1">
      <c r="B30" s="6"/>
      <c r="C30" s="3"/>
      <c r="D30" s="3"/>
      <c r="E30" s="3"/>
      <c r="F30" s="3"/>
      <c r="G30" s="27" t="s">
        <v>57</v>
      </c>
      <c r="H30" s="27"/>
      <c r="I30" s="27"/>
      <c r="J30" s="27"/>
      <c r="K30" s="27"/>
      <c r="L30" s="68" t="s">
        <v>60</v>
      </c>
      <c r="M30" s="63" t="s">
        <v>5</v>
      </c>
      <c r="N30" s="27" t="s">
        <v>61</v>
      </c>
      <c r="O30" s="27"/>
      <c r="P30" s="27"/>
      <c r="Q30" s="63" t="s">
        <v>5</v>
      </c>
      <c r="R30" s="101">
        <f>R28/N23</f>
        <v>20.94859940168616</v>
      </c>
      <c r="S30" s="28" t="s">
        <v>29</v>
      </c>
      <c r="T30" s="107" t="s">
        <v>65</v>
      </c>
      <c r="U30" s="59" t="str">
        <f>IF(R30&lt;R29,"O.K."," No Pass")</f>
        <v>O.K.</v>
      </c>
      <c r="V30" s="6"/>
    </row>
    <row r="31" spans="2:22" ht="18.75" customHeight="1">
      <c r="B31" s="6"/>
      <c r="C31" s="3"/>
      <c r="D31" s="3"/>
      <c r="E31" s="3"/>
      <c r="F31" s="3"/>
      <c r="G31" s="27" t="s">
        <v>58</v>
      </c>
      <c r="H31" s="27"/>
      <c r="I31" s="27"/>
      <c r="J31" s="27"/>
      <c r="K31" s="27"/>
      <c r="L31" s="68" t="s">
        <v>59</v>
      </c>
      <c r="M31" s="63" t="s">
        <v>5</v>
      </c>
      <c r="N31" s="27" t="s">
        <v>62</v>
      </c>
      <c r="O31" s="27"/>
      <c r="P31" s="27"/>
      <c r="Q31" s="63" t="s">
        <v>5</v>
      </c>
      <c r="R31" s="101">
        <f>R28/(R23*T23)</f>
        <v>89.30782608695652</v>
      </c>
      <c r="S31" s="28" t="s">
        <v>29</v>
      </c>
      <c r="T31" s="107" t="s">
        <v>65</v>
      </c>
      <c r="U31" s="59" t="str">
        <f>IF(R31&lt;R29,"O.K."," No Pass")</f>
        <v>O.K.</v>
      </c>
      <c r="V31" s="6"/>
    </row>
    <row r="32" spans="2:22" ht="18.75" customHeight="1">
      <c r="B32" s="6"/>
      <c r="C32" s="3"/>
      <c r="D32" s="3"/>
      <c r="E32" s="3"/>
      <c r="F32" s="3"/>
      <c r="G32" s="27"/>
      <c r="H32" s="27"/>
      <c r="I32" s="27"/>
      <c r="J32" s="27"/>
      <c r="K32" s="27"/>
      <c r="L32" s="68"/>
      <c r="M32" s="63"/>
      <c r="N32" s="27"/>
      <c r="O32" s="27"/>
      <c r="P32" s="27"/>
      <c r="Q32" s="63"/>
      <c r="R32" s="101"/>
      <c r="S32" s="28"/>
      <c r="T32" s="107"/>
      <c r="U32" s="66"/>
      <c r="V32" s="6"/>
    </row>
    <row r="33" spans="2:22" ht="18.75" customHeight="1">
      <c r="B33" s="6"/>
      <c r="C33" s="3"/>
      <c r="D33" s="3"/>
      <c r="E33" s="3"/>
      <c r="F33" s="3"/>
      <c r="G33" s="27"/>
      <c r="H33" s="27"/>
      <c r="I33" s="27"/>
      <c r="J33" s="27"/>
      <c r="K33" s="27"/>
      <c r="L33" s="68"/>
      <c r="M33" s="63"/>
      <c r="N33" s="27"/>
      <c r="O33" s="27"/>
      <c r="P33" s="205" t="s">
        <v>130</v>
      </c>
      <c r="Q33" s="205"/>
      <c r="R33" s="205"/>
      <c r="S33" s="28"/>
      <c r="T33" s="107"/>
      <c r="U33" s="66"/>
      <c r="V33" s="6"/>
    </row>
    <row r="34" spans="2:22" ht="18.75" customHeight="1">
      <c r="B34" s="6"/>
      <c r="C34" s="3"/>
      <c r="D34" s="3"/>
      <c r="E34" s="3"/>
      <c r="F34" s="3"/>
      <c r="G34" s="27"/>
      <c r="H34" s="27"/>
      <c r="I34" s="27"/>
      <c r="J34" s="27"/>
      <c r="K34" s="27"/>
      <c r="L34" s="68"/>
      <c r="M34" s="63"/>
      <c r="N34" s="27"/>
      <c r="O34" s="27"/>
      <c r="P34" s="205" t="s">
        <v>131</v>
      </c>
      <c r="Q34" s="205"/>
      <c r="R34" s="205"/>
      <c r="S34" s="28"/>
      <c r="T34" s="107"/>
      <c r="U34" s="66"/>
      <c r="V34" s="6"/>
    </row>
    <row r="35" spans="2:22" ht="18.75" customHeight="1">
      <c r="B35" s="6"/>
      <c r="C35" s="3"/>
      <c r="D35" s="3"/>
      <c r="E35" s="3"/>
      <c r="F35" s="3"/>
      <c r="G35" s="27"/>
      <c r="H35" s="27"/>
      <c r="I35" s="27"/>
      <c r="J35" s="27"/>
      <c r="K35" s="27"/>
      <c r="L35" s="68"/>
      <c r="M35" s="63"/>
      <c r="N35" s="27"/>
      <c r="O35" s="27"/>
      <c r="P35" s="205" t="s">
        <v>132</v>
      </c>
      <c r="Q35" s="205"/>
      <c r="R35" s="205"/>
      <c r="S35" s="28"/>
      <c r="T35" s="107"/>
      <c r="U35" s="66"/>
      <c r="V35" s="6"/>
    </row>
    <row r="36" spans="2:22" ht="22.5" customHeight="1" thickBot="1">
      <c r="B36" s="7"/>
      <c r="C36" s="8"/>
      <c r="D36" s="8"/>
      <c r="E36" s="8"/>
      <c r="F36" s="8"/>
      <c r="G36" s="71"/>
      <c r="H36" s="71"/>
      <c r="I36" s="71"/>
      <c r="J36" s="71"/>
      <c r="K36" s="71"/>
      <c r="L36" s="71"/>
      <c r="M36" s="71"/>
      <c r="N36" s="78"/>
      <c r="O36" s="78"/>
      <c r="P36" s="78"/>
      <c r="Q36" s="78"/>
      <c r="R36" s="78"/>
      <c r="S36" s="78"/>
      <c r="T36" s="78"/>
      <c r="U36" s="71"/>
      <c r="V36" s="7"/>
    </row>
    <row r="37" ht="22.5" thickTop="1"/>
    <row r="38" ht="21.75">
      <c r="G38" s="3"/>
    </row>
    <row r="39" ht="21.75">
      <c r="G39" s="3"/>
    </row>
    <row r="40" ht="21.75">
      <c r="G40" s="3"/>
    </row>
  </sheetData>
  <sheetProtection/>
  <mergeCells count="3">
    <mergeCell ref="P33:R33"/>
    <mergeCell ref="P34:R34"/>
    <mergeCell ref="P35:R35"/>
  </mergeCells>
  <printOptions horizontalCentered="1"/>
  <pageMargins left="0.3937007874015748" right="0" top="0.31496062992125984" bottom="0.2755905511811024" header="0.2362204724409449" footer="0.1968503937007874"/>
  <pageSetup horizontalDpi="300" verticalDpi="300" orientation="portrait" paperSize="9" scale="83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75" zoomScaleNormal="75" zoomScalePageLayoutView="0" workbookViewId="0" topLeftCell="A1">
      <pane xSplit="1" ySplit="1" topLeftCell="C2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35" sqref="A35"/>
    </sheetView>
  </sheetViews>
  <sheetFormatPr defaultColWidth="9.140625" defaultRowHeight="21.75"/>
  <cols>
    <col min="1" max="1" width="22.28125" style="55" customWidth="1"/>
    <col min="2" max="2" width="7.57421875" style="56" bestFit="1" customWidth="1"/>
    <col min="3" max="3" width="9.140625" style="55" customWidth="1"/>
    <col min="4" max="4" width="8.57421875" style="57" bestFit="1" customWidth="1"/>
    <col min="5" max="7" width="9.140625" style="55" customWidth="1"/>
    <col min="8" max="8" width="8.57421875" style="57" bestFit="1" customWidth="1"/>
    <col min="9" max="16384" width="9.140625" style="55" customWidth="1"/>
  </cols>
  <sheetData>
    <row r="1" spans="1:10" s="54" customFormat="1" ht="42">
      <c r="A1" s="51"/>
      <c r="B1" s="52" t="s">
        <v>72</v>
      </c>
      <c r="C1" s="54" t="s">
        <v>63</v>
      </c>
      <c r="D1" s="54" t="s">
        <v>18</v>
      </c>
      <c r="E1" s="54" t="s">
        <v>42</v>
      </c>
      <c r="F1" s="54" t="s">
        <v>19</v>
      </c>
      <c r="G1" s="54" t="s">
        <v>33</v>
      </c>
      <c r="H1" s="53" t="s">
        <v>73</v>
      </c>
      <c r="I1" s="54" t="s">
        <v>101</v>
      </c>
      <c r="J1" s="54" t="s">
        <v>103</v>
      </c>
    </row>
    <row r="2" spans="1:10" ht="21.75">
      <c r="A2" s="58" t="s">
        <v>74</v>
      </c>
      <c r="B2" s="56">
        <v>2.25</v>
      </c>
      <c r="C2" s="55">
        <v>2.872</v>
      </c>
      <c r="D2" s="57">
        <v>15.6</v>
      </c>
      <c r="E2" s="55">
        <v>3.32</v>
      </c>
      <c r="F2" s="55">
        <v>5.2</v>
      </c>
      <c r="G2" s="55">
        <v>1.71</v>
      </c>
      <c r="H2" s="57">
        <v>0.28</v>
      </c>
      <c r="I2" s="55">
        <v>3</v>
      </c>
      <c r="J2" s="55">
        <v>0.23</v>
      </c>
    </row>
    <row r="3" spans="1:13" ht="21.75">
      <c r="A3" s="58" t="s">
        <v>75</v>
      </c>
      <c r="B3" s="56">
        <v>2.89</v>
      </c>
      <c r="C3" s="55">
        <v>3.677</v>
      </c>
      <c r="D3" s="57">
        <v>31</v>
      </c>
      <c r="E3" s="55">
        <v>6.58</v>
      </c>
      <c r="F3" s="55">
        <v>8.28</v>
      </c>
      <c r="G3" s="55">
        <v>2.98</v>
      </c>
      <c r="H3" s="57">
        <v>0.35</v>
      </c>
      <c r="I3" s="55">
        <v>3.75</v>
      </c>
      <c r="J3" s="55">
        <v>0.23</v>
      </c>
      <c r="L3" s="96" t="s">
        <v>63</v>
      </c>
      <c r="M3" s="55">
        <v>23</v>
      </c>
    </row>
    <row r="4" spans="1:13" ht="21.75">
      <c r="A4" s="58" t="s">
        <v>76</v>
      </c>
      <c r="B4" s="56">
        <v>3.25</v>
      </c>
      <c r="C4" s="55">
        <v>4.137</v>
      </c>
      <c r="D4" s="57">
        <v>37.1</v>
      </c>
      <c r="E4" s="55">
        <v>11.8</v>
      </c>
      <c r="F4" s="55">
        <v>9.9</v>
      </c>
      <c r="G4" s="55">
        <v>4.24</v>
      </c>
      <c r="H4" s="57">
        <v>0.39</v>
      </c>
      <c r="I4" s="55">
        <v>3.75</v>
      </c>
      <c r="J4" s="55">
        <v>0.23</v>
      </c>
      <c r="L4" s="96" t="s">
        <v>111</v>
      </c>
      <c r="M4" s="55">
        <v>25</v>
      </c>
    </row>
    <row r="5" spans="1:10" ht="21.75">
      <c r="A5" s="61" t="s">
        <v>99</v>
      </c>
      <c r="B5" s="56">
        <v>5</v>
      </c>
      <c r="C5" s="55">
        <v>6.367</v>
      </c>
      <c r="D5" s="57">
        <v>76.9</v>
      </c>
      <c r="E5" s="55">
        <v>18.3</v>
      </c>
      <c r="F5" s="55">
        <v>17.1</v>
      </c>
      <c r="G5" s="55">
        <v>6.57</v>
      </c>
      <c r="H5" s="57">
        <v>0.452</v>
      </c>
      <c r="I5" s="55">
        <v>4.5</v>
      </c>
      <c r="J5" s="55">
        <v>0.32</v>
      </c>
    </row>
    <row r="6" spans="1:10" ht="21.75">
      <c r="A6" s="61" t="s">
        <v>100</v>
      </c>
      <c r="B6" s="56">
        <v>3.7</v>
      </c>
      <c r="C6" s="55">
        <v>4.712</v>
      </c>
      <c r="D6" s="57">
        <v>58.6</v>
      </c>
      <c r="E6" s="55">
        <v>14.2</v>
      </c>
      <c r="F6" s="55">
        <v>13</v>
      </c>
      <c r="G6" s="55">
        <v>5.14</v>
      </c>
      <c r="H6" s="57">
        <v>0.452</v>
      </c>
      <c r="I6" s="55">
        <v>4.5</v>
      </c>
      <c r="J6" s="55">
        <v>0.23</v>
      </c>
    </row>
    <row r="7" spans="1:10" ht="21.75">
      <c r="A7" s="58" t="s">
        <v>77</v>
      </c>
      <c r="B7" s="56">
        <v>7.43</v>
      </c>
      <c r="C7" s="55">
        <v>9.463</v>
      </c>
      <c r="D7" s="57">
        <v>139</v>
      </c>
      <c r="E7" s="55">
        <v>30.9</v>
      </c>
      <c r="F7" s="55">
        <v>27.7</v>
      </c>
      <c r="G7" s="55">
        <v>9.82</v>
      </c>
      <c r="H7" s="57">
        <v>0.48</v>
      </c>
      <c r="I7" s="55">
        <v>5</v>
      </c>
      <c r="J7" s="55">
        <v>0.45</v>
      </c>
    </row>
    <row r="8" spans="1:10" ht="21.75">
      <c r="A8" s="58" t="s">
        <v>78</v>
      </c>
      <c r="B8" s="56">
        <v>6.71</v>
      </c>
      <c r="C8" s="55">
        <v>8.548</v>
      </c>
      <c r="D8" s="57">
        <v>127</v>
      </c>
      <c r="E8" s="55">
        <v>28.7</v>
      </c>
      <c r="F8" s="55">
        <v>25.4</v>
      </c>
      <c r="G8" s="55">
        <v>9.13</v>
      </c>
      <c r="H8" s="57">
        <v>0.48</v>
      </c>
      <c r="I8" s="55">
        <v>5</v>
      </c>
      <c r="J8" s="55">
        <v>0.4</v>
      </c>
    </row>
    <row r="9" spans="1:10" ht="21.75">
      <c r="A9" s="58" t="s">
        <v>79</v>
      </c>
      <c r="B9" s="56">
        <v>5.5</v>
      </c>
      <c r="C9" s="55">
        <v>7.007</v>
      </c>
      <c r="D9" s="57">
        <v>107</v>
      </c>
      <c r="E9" s="55">
        <v>24.5</v>
      </c>
      <c r="F9" s="55">
        <v>21.3</v>
      </c>
      <c r="G9" s="55">
        <v>7.81</v>
      </c>
      <c r="H9" s="57">
        <v>0.48</v>
      </c>
      <c r="I9" s="55">
        <v>5</v>
      </c>
      <c r="J9" s="55">
        <v>0.32</v>
      </c>
    </row>
    <row r="10" spans="1:4" ht="21.75">
      <c r="A10" s="61" t="s">
        <v>122</v>
      </c>
      <c r="C10" s="55">
        <v>6.84</v>
      </c>
      <c r="D10" s="57">
        <v>106.72</v>
      </c>
    </row>
    <row r="11" spans="1:10" ht="21.75">
      <c r="A11" s="58" t="s">
        <v>80</v>
      </c>
      <c r="B11" s="56">
        <v>4.06</v>
      </c>
      <c r="C11" s="55">
        <v>5.172</v>
      </c>
      <c r="D11" s="57">
        <v>80.7</v>
      </c>
      <c r="E11" s="55">
        <v>19</v>
      </c>
      <c r="F11" s="55">
        <v>16.1</v>
      </c>
      <c r="G11" s="55">
        <v>6.06</v>
      </c>
      <c r="H11" s="57">
        <v>0.48</v>
      </c>
      <c r="I11" s="55">
        <v>5</v>
      </c>
      <c r="J11" s="55">
        <v>0.23</v>
      </c>
    </row>
    <row r="12" ht="21.75">
      <c r="A12" s="61" t="s">
        <v>123</v>
      </c>
    </row>
    <row r="13" spans="1:10" ht="21.75">
      <c r="A13" s="58" t="s">
        <v>81</v>
      </c>
      <c r="B13" s="56">
        <v>5.5</v>
      </c>
      <c r="C13" s="55">
        <v>7.007</v>
      </c>
      <c r="D13" s="57">
        <v>144</v>
      </c>
      <c r="E13" s="55">
        <v>15.3</v>
      </c>
      <c r="F13" s="55">
        <v>24</v>
      </c>
      <c r="G13" s="55">
        <v>5.71</v>
      </c>
      <c r="H13" s="57">
        <v>0.48</v>
      </c>
      <c r="I13" s="55">
        <v>6</v>
      </c>
      <c r="J13" s="55">
        <v>0.32</v>
      </c>
    </row>
    <row r="14" ht="21.75">
      <c r="A14" s="61" t="s">
        <v>124</v>
      </c>
    </row>
    <row r="15" spans="1:10" ht="21.75">
      <c r="A15" s="58" t="s">
        <v>82</v>
      </c>
      <c r="B15" s="56">
        <v>6.51</v>
      </c>
      <c r="C15" s="55">
        <v>8.287</v>
      </c>
      <c r="D15" s="57">
        <v>186</v>
      </c>
      <c r="E15" s="55">
        <v>40.9</v>
      </c>
      <c r="F15" s="55">
        <v>31</v>
      </c>
      <c r="G15" s="55">
        <v>10.5</v>
      </c>
      <c r="H15" s="57">
        <v>0.56</v>
      </c>
      <c r="I15" s="55">
        <v>6</v>
      </c>
      <c r="J15" s="55">
        <v>0.32</v>
      </c>
    </row>
    <row r="16" ht="21.75">
      <c r="A16" s="61" t="s">
        <v>125</v>
      </c>
    </row>
    <row r="17" spans="1:10" ht="21.75">
      <c r="A17" s="58" t="s">
        <v>83</v>
      </c>
      <c r="B17" s="56">
        <v>9.2</v>
      </c>
      <c r="C17" s="55">
        <v>11.72</v>
      </c>
      <c r="D17" s="57">
        <v>252</v>
      </c>
      <c r="E17" s="55">
        <v>58</v>
      </c>
      <c r="F17" s="55">
        <v>41.9</v>
      </c>
      <c r="G17" s="55">
        <v>15.5</v>
      </c>
      <c r="H17" s="57">
        <v>0.58</v>
      </c>
      <c r="I17" s="55">
        <v>6</v>
      </c>
      <c r="J17" s="55">
        <v>0.45</v>
      </c>
    </row>
    <row r="18" spans="1:10" ht="21.75">
      <c r="A18" s="58" t="s">
        <v>84</v>
      </c>
      <c r="B18" s="56">
        <v>8.32</v>
      </c>
      <c r="C18" s="55">
        <v>10.59</v>
      </c>
      <c r="D18" s="57">
        <v>238</v>
      </c>
      <c r="E18" s="55">
        <v>33.5</v>
      </c>
      <c r="F18" s="55">
        <v>38</v>
      </c>
      <c r="G18" s="55">
        <v>10</v>
      </c>
      <c r="H18" s="57">
        <v>0.53</v>
      </c>
      <c r="I18" s="55">
        <v>6.25</v>
      </c>
      <c r="J18" s="55">
        <v>0.45</v>
      </c>
    </row>
    <row r="19" spans="1:10" ht="21.75">
      <c r="A19" s="58" t="s">
        <v>85</v>
      </c>
      <c r="B19" s="56">
        <v>7.5</v>
      </c>
      <c r="C19" s="55">
        <v>9.548</v>
      </c>
      <c r="D19" s="57">
        <v>217</v>
      </c>
      <c r="E19" s="55">
        <v>33.1</v>
      </c>
      <c r="F19" s="55">
        <v>34.7</v>
      </c>
      <c r="G19" s="55">
        <v>9.38</v>
      </c>
      <c r="H19" s="57">
        <v>0.53</v>
      </c>
      <c r="I19" s="55">
        <v>6.25</v>
      </c>
      <c r="J19" s="55">
        <v>0.4</v>
      </c>
    </row>
    <row r="20" spans="1:10" ht="21.75">
      <c r="A20" s="58" t="s">
        <v>86</v>
      </c>
      <c r="B20" s="56">
        <v>6.13</v>
      </c>
      <c r="C20" s="55">
        <v>7.807</v>
      </c>
      <c r="D20" s="57">
        <v>181</v>
      </c>
      <c r="E20" s="55">
        <v>26.6</v>
      </c>
      <c r="F20" s="55">
        <v>29</v>
      </c>
      <c r="G20" s="55">
        <v>8.02</v>
      </c>
      <c r="H20" s="57">
        <v>0.53</v>
      </c>
      <c r="I20" s="55">
        <v>6.25</v>
      </c>
      <c r="J20" s="55">
        <v>0.32</v>
      </c>
    </row>
    <row r="21" spans="1:10" ht="21.75">
      <c r="A21" s="58" t="s">
        <v>87</v>
      </c>
      <c r="B21" s="56">
        <v>9.2</v>
      </c>
      <c r="C21" s="55">
        <v>11.72</v>
      </c>
      <c r="D21" s="57">
        <v>368</v>
      </c>
      <c r="E21" s="55">
        <v>35.7</v>
      </c>
      <c r="F21" s="55">
        <v>49</v>
      </c>
      <c r="G21" s="55">
        <v>10.5</v>
      </c>
      <c r="H21" s="57">
        <v>0.58</v>
      </c>
      <c r="I21" s="55">
        <v>7.5</v>
      </c>
      <c r="J21" s="55">
        <v>0.45</v>
      </c>
    </row>
    <row r="22" spans="1:10" ht="21.75">
      <c r="A22" s="58" t="s">
        <v>88</v>
      </c>
      <c r="B22" s="56">
        <v>6.76</v>
      </c>
      <c r="C22" s="55">
        <v>8.607</v>
      </c>
      <c r="D22" s="57">
        <v>280</v>
      </c>
      <c r="E22" s="55">
        <v>28.3</v>
      </c>
      <c r="F22" s="55">
        <v>37.4</v>
      </c>
      <c r="G22" s="55">
        <v>8.19</v>
      </c>
      <c r="H22" s="57">
        <v>0.58</v>
      </c>
      <c r="I22" s="55">
        <v>7.5</v>
      </c>
      <c r="J22" s="55">
        <v>0.32</v>
      </c>
    </row>
    <row r="23" spans="1:10" ht="21.75">
      <c r="A23" s="58" t="s">
        <v>89</v>
      </c>
      <c r="B23" s="56">
        <v>9.22</v>
      </c>
      <c r="C23" s="55">
        <v>11.75</v>
      </c>
      <c r="D23" s="57">
        <v>401</v>
      </c>
      <c r="E23" s="55">
        <v>63.7</v>
      </c>
      <c r="F23" s="55">
        <v>53.3</v>
      </c>
      <c r="G23" s="55">
        <v>14.5</v>
      </c>
      <c r="H23" s="57">
        <v>0.64</v>
      </c>
      <c r="I23" s="55">
        <v>7.5</v>
      </c>
      <c r="J23" s="55">
        <v>0.4</v>
      </c>
    </row>
    <row r="24" spans="1:10" ht="21.75">
      <c r="A24" s="61" t="s">
        <v>129</v>
      </c>
      <c r="B24" s="56">
        <f>2*7.51</f>
        <v>15.02</v>
      </c>
      <c r="C24" s="55">
        <f>2*9.567</f>
        <v>19.134</v>
      </c>
      <c r="D24" s="57">
        <f>2*332</f>
        <v>664</v>
      </c>
      <c r="I24" s="55">
        <v>7.5</v>
      </c>
      <c r="J24" s="55">
        <v>0.32</v>
      </c>
    </row>
    <row r="25" spans="1:10" ht="21.75">
      <c r="A25" s="58" t="s">
        <v>90</v>
      </c>
      <c r="B25" s="56">
        <v>7.51</v>
      </c>
      <c r="C25" s="55">
        <v>9.567</v>
      </c>
      <c r="D25" s="57">
        <v>332</v>
      </c>
      <c r="E25" s="55">
        <v>53.8</v>
      </c>
      <c r="F25" s="55">
        <v>44.3</v>
      </c>
      <c r="G25" s="55">
        <v>12.2</v>
      </c>
      <c r="H25" s="57">
        <v>0.64</v>
      </c>
      <c r="I25" s="55">
        <v>7.5</v>
      </c>
      <c r="J25" s="55">
        <v>0.32</v>
      </c>
    </row>
    <row r="26" spans="1:10" ht="21.75">
      <c r="A26" s="61" t="s">
        <v>91</v>
      </c>
      <c r="B26" s="56">
        <v>11.3</v>
      </c>
      <c r="C26" s="55">
        <v>14.42</v>
      </c>
      <c r="D26" s="57">
        <v>501</v>
      </c>
      <c r="E26" s="55">
        <v>109</v>
      </c>
      <c r="F26" s="55">
        <v>66.9</v>
      </c>
      <c r="G26" s="55">
        <v>22.5</v>
      </c>
      <c r="H26" s="57">
        <v>0.68</v>
      </c>
      <c r="I26" s="55">
        <v>7.5</v>
      </c>
      <c r="J26" s="55">
        <v>0.45</v>
      </c>
    </row>
    <row r="27" spans="1:10" ht="21.75">
      <c r="A27" s="58" t="s">
        <v>92</v>
      </c>
      <c r="B27" s="56">
        <v>10.2</v>
      </c>
      <c r="C27" s="55">
        <v>12.95</v>
      </c>
      <c r="D27" s="57">
        <v>455</v>
      </c>
      <c r="E27" s="55">
        <v>99.8</v>
      </c>
      <c r="F27" s="55">
        <v>60.6</v>
      </c>
      <c r="G27" s="55">
        <v>20.6</v>
      </c>
      <c r="H27" s="57">
        <v>0.7</v>
      </c>
      <c r="I27" s="55">
        <v>7.5</v>
      </c>
      <c r="J27" s="55">
        <v>0.4</v>
      </c>
    </row>
    <row r="28" spans="1:10" ht="21.75">
      <c r="A28" s="58" t="s">
        <v>93</v>
      </c>
      <c r="B28" s="56">
        <v>8.27</v>
      </c>
      <c r="C28" s="55">
        <v>10.53</v>
      </c>
      <c r="D28" s="57">
        <v>375</v>
      </c>
      <c r="E28" s="55">
        <v>83.6</v>
      </c>
      <c r="F28" s="55">
        <v>50</v>
      </c>
      <c r="G28" s="55">
        <v>17.3</v>
      </c>
      <c r="H28" s="57">
        <v>0.7</v>
      </c>
      <c r="I28" s="55">
        <v>7.5</v>
      </c>
      <c r="J28" s="55">
        <v>0.32</v>
      </c>
    </row>
    <row r="29" spans="1:10" ht="21.75">
      <c r="A29" s="58" t="s">
        <v>94</v>
      </c>
      <c r="B29" s="56">
        <v>12.7</v>
      </c>
      <c r="H29" s="57">
        <v>0.78</v>
      </c>
      <c r="I29" s="55">
        <v>10</v>
      </c>
      <c r="J29" s="55">
        <v>0.45</v>
      </c>
    </row>
    <row r="30" spans="1:10" ht="21.75">
      <c r="A30" s="58" t="s">
        <v>95</v>
      </c>
      <c r="B30" s="56">
        <v>11.4</v>
      </c>
      <c r="C30" s="55">
        <v>14.95</v>
      </c>
      <c r="D30" s="57">
        <v>871</v>
      </c>
      <c r="E30" s="55">
        <v>100</v>
      </c>
      <c r="F30" s="55">
        <v>87.1</v>
      </c>
      <c r="G30" s="55">
        <v>18.9</v>
      </c>
      <c r="H30" s="57">
        <v>0.78</v>
      </c>
      <c r="I30" s="55">
        <v>10</v>
      </c>
      <c r="J30" s="55">
        <v>0.4</v>
      </c>
    </row>
    <row r="31" spans="1:10" ht="21.75">
      <c r="A31" s="58" t="s">
        <v>96</v>
      </c>
      <c r="B31" s="56">
        <v>9.27</v>
      </c>
      <c r="H31" s="57">
        <v>0.78</v>
      </c>
      <c r="J31" s="55">
        <v>0.32</v>
      </c>
    </row>
    <row r="32" spans="1:10" ht="21.75">
      <c r="A32" s="58" t="s">
        <v>97</v>
      </c>
      <c r="B32" s="56">
        <v>13.1</v>
      </c>
      <c r="H32" s="57">
        <v>0.8</v>
      </c>
      <c r="J32" s="55">
        <v>0.45</v>
      </c>
    </row>
    <row r="33" spans="1:10" ht="21.75">
      <c r="A33" s="58" t="s">
        <v>98</v>
      </c>
      <c r="B33" s="56">
        <v>11.7</v>
      </c>
      <c r="H33" s="57">
        <v>0.8</v>
      </c>
      <c r="J33" s="55">
        <v>0.4</v>
      </c>
    </row>
    <row r="34" spans="1:10" ht="21.75">
      <c r="A34" s="169" t="str">
        <f>J41</f>
        <v>C  75x45x20x2.3  mm</v>
      </c>
      <c r="B34" s="56">
        <v>9.52</v>
      </c>
      <c r="C34" s="57">
        <f>M53</f>
        <v>4.5034</v>
      </c>
      <c r="D34" s="57">
        <f>M51</f>
        <v>39.91375395333333</v>
      </c>
      <c r="E34" s="57">
        <f>P51</f>
        <v>33.68</v>
      </c>
      <c r="F34" s="57">
        <f>M52</f>
        <v>10.643667720888887</v>
      </c>
      <c r="G34" s="57">
        <f>P52</f>
        <v>8.981333333333334</v>
      </c>
      <c r="H34" s="57">
        <v>0.8</v>
      </c>
      <c r="I34" s="57"/>
      <c r="J34" s="57">
        <f>M46</f>
        <v>0.23</v>
      </c>
    </row>
    <row r="35" spans="1:10" ht="21.75">
      <c r="A35" s="61" t="s">
        <v>126</v>
      </c>
      <c r="B35" s="56">
        <v>1.12</v>
      </c>
      <c r="C35" s="55">
        <v>1.432</v>
      </c>
      <c r="D35" s="57">
        <v>1.28</v>
      </c>
      <c r="E35" s="55">
        <v>1.28</v>
      </c>
      <c r="F35" s="55">
        <v>1.02</v>
      </c>
      <c r="G35" s="55">
        <v>1.02</v>
      </c>
      <c r="I35" s="55">
        <v>2.5</v>
      </c>
      <c r="J35" s="55">
        <v>1.6</v>
      </c>
    </row>
    <row r="41" spans="6:16" ht="26.25">
      <c r="F41" s="163"/>
      <c r="G41" s="163"/>
      <c r="H41" s="163"/>
      <c r="I41" s="163"/>
      <c r="J41" s="164" t="str">
        <f>"C  "&amp;M43*10&amp;"x"&amp;M44*10&amp;"x"&amp;M45*10&amp;"x"&amp;M46*10&amp;"  mm"</f>
        <v>C  75x45x20x2.3  mm</v>
      </c>
      <c r="K41" s="163"/>
      <c r="L41" s="165"/>
      <c r="M41" s="163"/>
      <c r="N41" s="163"/>
      <c r="O41" s="163"/>
      <c r="P41" s="163"/>
    </row>
    <row r="42" spans="6:16" ht="21.75"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spans="2:17" s="170" customFormat="1" ht="21.75">
      <c r="B43" s="171"/>
      <c r="D43" s="172"/>
      <c r="F43" s="173"/>
      <c r="G43" s="173"/>
      <c r="H43" s="173"/>
      <c r="I43" s="173"/>
      <c r="J43" s="173"/>
      <c r="K43" s="173"/>
      <c r="L43" s="173" t="s">
        <v>220</v>
      </c>
      <c r="M43" s="173">
        <v>7.5</v>
      </c>
      <c r="N43" s="173" t="s">
        <v>102</v>
      </c>
      <c r="O43" s="173" t="s">
        <v>230</v>
      </c>
      <c r="P43" s="173">
        <f>M43*M46</f>
        <v>1.725</v>
      </c>
      <c r="Q43" s="173" t="s">
        <v>174</v>
      </c>
    </row>
    <row r="44" spans="2:17" s="170" customFormat="1" ht="21.75">
      <c r="B44" s="171"/>
      <c r="D44" s="172"/>
      <c r="F44" s="173"/>
      <c r="G44" s="173"/>
      <c r="H44" s="173"/>
      <c r="I44" s="173"/>
      <c r="J44" s="173"/>
      <c r="K44" s="173"/>
      <c r="L44" s="173" t="s">
        <v>221</v>
      </c>
      <c r="M44" s="173">
        <v>4.5</v>
      </c>
      <c r="N44" s="173" t="s">
        <v>102</v>
      </c>
      <c r="O44" s="173" t="s">
        <v>231</v>
      </c>
      <c r="P44" s="173">
        <f>M46*(M44-2*M46)*2</f>
        <v>1.8584</v>
      </c>
      <c r="Q44" s="173" t="s">
        <v>174</v>
      </c>
    </row>
    <row r="45" spans="2:17" s="170" customFormat="1" ht="21.75">
      <c r="B45" s="171"/>
      <c r="D45" s="172"/>
      <c r="F45" s="173"/>
      <c r="G45" s="173"/>
      <c r="H45" s="173"/>
      <c r="I45" s="173"/>
      <c r="J45" s="173"/>
      <c r="K45" s="173"/>
      <c r="L45" s="173" t="s">
        <v>222</v>
      </c>
      <c r="M45" s="173">
        <v>2</v>
      </c>
      <c r="N45" s="173" t="s">
        <v>102</v>
      </c>
      <c r="O45" s="173" t="s">
        <v>232</v>
      </c>
      <c r="P45" s="173">
        <f>M45*M46*2</f>
        <v>0.92</v>
      </c>
      <c r="Q45" s="173" t="s">
        <v>174</v>
      </c>
    </row>
    <row r="46" spans="2:17" s="170" customFormat="1" ht="21.75">
      <c r="B46" s="171"/>
      <c r="D46" s="172"/>
      <c r="F46" s="173"/>
      <c r="G46" s="173"/>
      <c r="H46" s="173"/>
      <c r="I46" s="173"/>
      <c r="J46" s="173"/>
      <c r="K46" s="173"/>
      <c r="L46" s="173" t="s">
        <v>141</v>
      </c>
      <c r="M46" s="173">
        <v>0.23</v>
      </c>
      <c r="N46" s="173" t="s">
        <v>102</v>
      </c>
      <c r="O46" s="173" t="s">
        <v>233</v>
      </c>
      <c r="P46" s="173">
        <f>(P43*M46/2+P44*M44/2+P45*(M44-M46/2))/M53</f>
        <v>1.8683605720122576</v>
      </c>
      <c r="Q46" s="174" t="s">
        <v>102</v>
      </c>
    </row>
    <row r="47" spans="6:16" ht="21.75"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8" spans="6:17" ht="21.75">
      <c r="F48" s="163"/>
      <c r="G48" s="163"/>
      <c r="H48" s="163"/>
      <c r="I48" s="163"/>
      <c r="J48" s="163"/>
      <c r="K48" s="163"/>
      <c r="L48" s="166" t="s">
        <v>223</v>
      </c>
      <c r="M48" s="163">
        <f>M46*(M43^3)/12</f>
        <v>8.0859375</v>
      </c>
      <c r="N48" s="163" t="s">
        <v>224</v>
      </c>
      <c r="O48" s="166" t="s">
        <v>223</v>
      </c>
      <c r="P48" s="163">
        <f>ROUND((M43*M46^3)/12+P43*(P46-M46/2)^2,2)</f>
        <v>5.31</v>
      </c>
      <c r="Q48" s="163" t="s">
        <v>224</v>
      </c>
    </row>
    <row r="49" spans="6:17" ht="21.75">
      <c r="F49" s="163"/>
      <c r="G49" s="163"/>
      <c r="H49" s="163"/>
      <c r="I49" s="163"/>
      <c r="J49" s="163"/>
      <c r="K49" s="163"/>
      <c r="L49" s="166" t="s">
        <v>225</v>
      </c>
      <c r="M49" s="163">
        <f>((M44-2*M46)*(M46^3)/12+((M44-2*M46)*M46)*((M43/2-M46/2)^2))*2</f>
        <v>24.563649786666662</v>
      </c>
      <c r="N49" s="163" t="s">
        <v>224</v>
      </c>
      <c r="O49" s="166" t="s">
        <v>225</v>
      </c>
      <c r="P49" s="163">
        <f>((M46*M43^3)/12+P44*(M44/2-P46)^2)*2</f>
        <v>16.713221913451115</v>
      </c>
      <c r="Q49" s="163" t="s">
        <v>224</v>
      </c>
    </row>
    <row r="50" spans="6:17" ht="21.75">
      <c r="F50" s="163"/>
      <c r="G50" s="163"/>
      <c r="H50" s="163"/>
      <c r="I50" s="163"/>
      <c r="J50" s="163"/>
      <c r="K50" s="163"/>
      <c r="L50" s="166" t="s">
        <v>226</v>
      </c>
      <c r="M50" s="163">
        <f>((M46*M45^3/12)+(M45*M46)*(M43/2-M45/2)^2)*2</f>
        <v>7.264166666666667</v>
      </c>
      <c r="N50" s="163" t="s">
        <v>224</v>
      </c>
      <c r="O50" s="166" t="s">
        <v>226</v>
      </c>
      <c r="P50" s="163">
        <f>((M45*M46^3)/12+P45*(M44-M46/2-P46)^2)*2</f>
        <v>11.657647845991212</v>
      </c>
      <c r="Q50" s="163" t="s">
        <v>224</v>
      </c>
    </row>
    <row r="51" spans="6:17" ht="21.75">
      <c r="F51" s="163"/>
      <c r="G51" s="163"/>
      <c r="H51" s="163"/>
      <c r="I51" s="163"/>
      <c r="J51" s="163"/>
      <c r="K51" s="163"/>
      <c r="L51" s="166" t="s">
        <v>227</v>
      </c>
      <c r="M51" s="167">
        <f>M48+M49+M50</f>
        <v>39.91375395333333</v>
      </c>
      <c r="N51" s="163" t="s">
        <v>224</v>
      </c>
      <c r="O51" s="166" t="s">
        <v>227</v>
      </c>
      <c r="P51" s="167">
        <f>ROUND(SUM(P48:P50),2)</f>
        <v>33.68</v>
      </c>
      <c r="Q51" s="163" t="s">
        <v>224</v>
      </c>
    </row>
    <row r="52" spans="6:17" ht="21.75">
      <c r="F52" s="163"/>
      <c r="G52" s="163"/>
      <c r="H52" s="163"/>
      <c r="I52" s="163"/>
      <c r="J52" s="163"/>
      <c r="K52" s="163"/>
      <c r="L52" s="168" t="s">
        <v>228</v>
      </c>
      <c r="M52" s="167">
        <f>M51/(M43/2)</f>
        <v>10.643667720888887</v>
      </c>
      <c r="N52" s="163" t="s">
        <v>229</v>
      </c>
      <c r="O52" s="168" t="s">
        <v>228</v>
      </c>
      <c r="P52" s="167">
        <f>P51/(M43/2)</f>
        <v>8.981333333333334</v>
      </c>
      <c r="Q52" s="163" t="s">
        <v>229</v>
      </c>
    </row>
    <row r="53" spans="6:17" ht="21.75">
      <c r="F53" s="163"/>
      <c r="G53" s="163"/>
      <c r="H53" s="163"/>
      <c r="I53" s="163"/>
      <c r="J53" s="163"/>
      <c r="K53" s="163"/>
      <c r="L53" s="168" t="s">
        <v>221</v>
      </c>
      <c r="M53" s="167">
        <f>(M43*M46)+2*((M44-2*M46)*M46)+2*(M45*M46)</f>
        <v>4.5034</v>
      </c>
      <c r="N53" s="163" t="s">
        <v>174</v>
      </c>
      <c r="O53" s="168" t="s">
        <v>221</v>
      </c>
      <c r="P53" s="167">
        <f>P43+P44+P45</f>
        <v>4.5034</v>
      </c>
      <c r="Q53" s="163" t="s">
        <v>174</v>
      </c>
    </row>
    <row r="54" spans="6:16" ht="21.75"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</row>
  </sheetData>
  <sheetProtection/>
  <autoFilter ref="A1:A35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M9" sqref="M9"/>
    </sheetView>
  </sheetViews>
  <sheetFormatPr defaultColWidth="9.140625" defaultRowHeight="21.75"/>
  <cols>
    <col min="1" max="2" width="9.140625" style="177" customWidth="1"/>
    <col min="3" max="3" width="11.28125" style="177" customWidth="1"/>
    <col min="4" max="4" width="9.140625" style="177" customWidth="1"/>
    <col min="5" max="5" width="11.57421875" style="177" customWidth="1"/>
    <col min="6" max="16384" width="9.140625" style="177" customWidth="1"/>
  </cols>
  <sheetData>
    <row r="1" spans="1:6" ht="21">
      <c r="A1" s="175"/>
      <c r="B1" s="176"/>
      <c r="C1" s="218" t="s">
        <v>133</v>
      </c>
      <c r="D1" s="218"/>
      <c r="E1" s="218"/>
      <c r="F1" s="218"/>
    </row>
    <row r="2" spans="1:6" ht="21">
      <c r="A2" s="175"/>
      <c r="B2" s="219" t="s">
        <v>134</v>
      </c>
      <c r="C2" s="219"/>
      <c r="D2" s="219"/>
      <c r="E2" s="220">
        <f ca="1">TODAY()</f>
        <v>41948</v>
      </c>
      <c r="F2" s="220"/>
    </row>
    <row r="3" spans="1:6" ht="21">
      <c r="A3" s="175"/>
      <c r="B3" s="219" t="s">
        <v>135</v>
      </c>
      <c r="C3" s="219"/>
      <c r="D3" s="219"/>
      <c r="E3" s="219"/>
      <c r="F3" s="219"/>
    </row>
    <row r="4" spans="1:6" ht="21">
      <c r="A4" s="175"/>
      <c r="B4" s="175" t="s">
        <v>234</v>
      </c>
      <c r="C4" s="175"/>
      <c r="D4" s="175"/>
      <c r="E4" s="175"/>
      <c r="F4" s="175"/>
    </row>
    <row r="5" spans="1:3" s="179" customFormat="1" ht="18" customHeight="1">
      <c r="A5" s="178" t="s">
        <v>235</v>
      </c>
      <c r="B5" s="221" t="s">
        <v>236</v>
      </c>
      <c r="C5" s="221"/>
    </row>
    <row r="6" spans="2:6" s="179" customFormat="1" ht="18" customHeight="1">
      <c r="B6" s="179" t="s">
        <v>181</v>
      </c>
      <c r="C6" s="180">
        <f>95*3.5/2</f>
        <v>166.25</v>
      </c>
      <c r="D6" s="179" t="s">
        <v>118</v>
      </c>
      <c r="E6" s="179" t="s">
        <v>237</v>
      </c>
      <c r="F6" s="180">
        <v>42</v>
      </c>
    </row>
    <row r="7" spans="2:4" s="179" customFormat="1" ht="18" customHeight="1">
      <c r="B7" s="179" t="s">
        <v>238</v>
      </c>
      <c r="C7" s="180">
        <v>3.8</v>
      </c>
      <c r="D7" s="179" t="s">
        <v>6</v>
      </c>
    </row>
    <row r="8" spans="2:5" s="179" customFormat="1" ht="18" customHeight="1">
      <c r="B8" s="179" t="s">
        <v>167</v>
      </c>
      <c r="C8" s="181">
        <v>2100000</v>
      </c>
      <c r="D8" s="179" t="s">
        <v>239</v>
      </c>
      <c r="E8" s="182">
        <v>2100000</v>
      </c>
    </row>
    <row r="9" spans="2:5" s="179" customFormat="1" ht="18" customHeight="1">
      <c r="B9" s="179" t="s">
        <v>240</v>
      </c>
      <c r="C9" s="180">
        <v>214</v>
      </c>
      <c r="D9" s="179" t="s">
        <v>241</v>
      </c>
      <c r="E9" s="183"/>
    </row>
    <row r="10" spans="3:6" s="179" customFormat="1" ht="18" customHeight="1">
      <c r="C10" s="184">
        <f>5*(C6/100)*((C7*100)^4)/(384*C8*C9)</f>
        <v>1.0043885481568016</v>
      </c>
      <c r="D10" s="179" t="s">
        <v>102</v>
      </c>
      <c r="E10" s="185" t="str">
        <f>IF(C10&lt;(C7*100/360),"O.K.","CHECK ")</f>
        <v>O.K.</v>
      </c>
      <c r="F10" s="186">
        <f>C7/360*100</f>
        <v>1.0555555555555556</v>
      </c>
    </row>
    <row r="11" spans="2:5" s="179" customFormat="1" ht="18" customHeight="1">
      <c r="B11" s="187" t="s">
        <v>242</v>
      </c>
      <c r="C11" s="188">
        <f>(C6*C7^2/8*100/1440)</f>
        <v>20.838975694444443</v>
      </c>
      <c r="D11" s="189" t="s">
        <v>243</v>
      </c>
      <c r="E11" s="185" t="str">
        <f>IF(F6&gt;C11,"O.K.","CHECK")</f>
        <v>O.K.</v>
      </c>
    </row>
    <row r="12" spans="1:6" s="179" customFormat="1" ht="18" customHeight="1" thickBot="1">
      <c r="A12" s="190"/>
      <c r="B12" s="190"/>
      <c r="C12" s="191" t="s">
        <v>244</v>
      </c>
      <c r="D12" s="190"/>
      <c r="E12" s="190"/>
      <c r="F12" s="190"/>
    </row>
    <row r="13" spans="1:6" s="179" customFormat="1" ht="18" customHeight="1" thickTop="1">
      <c r="A13" s="189"/>
      <c r="B13" s="177" t="s">
        <v>245</v>
      </c>
      <c r="C13" s="189"/>
      <c r="D13" s="189"/>
      <c r="E13" s="189"/>
      <c r="F13" s="189"/>
    </row>
    <row r="14" spans="1:3" s="179" customFormat="1" ht="18" customHeight="1">
      <c r="A14" s="178" t="s">
        <v>235</v>
      </c>
      <c r="B14" s="221" t="s">
        <v>236</v>
      </c>
      <c r="C14" s="221"/>
    </row>
    <row r="15" spans="2:6" s="179" customFormat="1" ht="18" customHeight="1">
      <c r="B15" s="179" t="s">
        <v>181</v>
      </c>
      <c r="C15" s="180">
        <v>144</v>
      </c>
      <c r="D15" s="179" t="s">
        <v>118</v>
      </c>
      <c r="E15" s="179" t="s">
        <v>237</v>
      </c>
      <c r="F15" s="180">
        <v>32.2</v>
      </c>
    </row>
    <row r="16" spans="2:4" s="179" customFormat="1" ht="18" customHeight="1">
      <c r="B16" s="179" t="s">
        <v>238</v>
      </c>
      <c r="C16" s="180">
        <v>2</v>
      </c>
      <c r="D16" s="179" t="s">
        <v>6</v>
      </c>
    </row>
    <row r="17" spans="2:5" s="179" customFormat="1" ht="18" customHeight="1">
      <c r="B17" s="179" t="s">
        <v>167</v>
      </c>
      <c r="C17" s="181">
        <v>2100000</v>
      </c>
      <c r="D17" s="179" t="s">
        <v>239</v>
      </c>
      <c r="E17" s="182">
        <v>2100000</v>
      </c>
    </row>
    <row r="18" spans="2:5" s="179" customFormat="1" ht="18" customHeight="1">
      <c r="B18" s="179" t="s">
        <v>240</v>
      </c>
      <c r="C18" s="180">
        <v>214</v>
      </c>
      <c r="D18" s="179" t="s">
        <v>241</v>
      </c>
      <c r="E18" s="183"/>
    </row>
    <row r="19" spans="3:6" s="179" customFormat="1" ht="18" customHeight="1">
      <c r="C19" s="184">
        <f>5*(C15/100)*((C16*100)^4)/(384*C17*C18)</f>
        <v>0.06675567423230974</v>
      </c>
      <c r="D19" s="179" t="s">
        <v>102</v>
      </c>
      <c r="E19" s="185" t="str">
        <f>IF(C19&lt;(C16*100/360),"O.K.","CHECK ")</f>
        <v>O.K.</v>
      </c>
      <c r="F19" s="186">
        <f>C16/360*100</f>
        <v>0.5555555555555556</v>
      </c>
    </row>
    <row r="20" spans="2:5" s="179" customFormat="1" ht="18" customHeight="1">
      <c r="B20" s="187" t="s">
        <v>242</v>
      </c>
      <c r="C20" s="188">
        <f>(C15*C16^2/8*100/1440)</f>
        <v>5</v>
      </c>
      <c r="D20" s="189" t="s">
        <v>243</v>
      </c>
      <c r="E20" s="185" t="str">
        <f>IF(F15&gt;C20,"O.K.","CHECK")</f>
        <v>O.K.</v>
      </c>
    </row>
    <row r="21" spans="1:6" s="179" customFormat="1" ht="18" customHeight="1" thickBot="1">
      <c r="A21" s="190"/>
      <c r="B21" s="190"/>
      <c r="C21" s="191" t="s">
        <v>246</v>
      </c>
      <c r="D21" s="190"/>
      <c r="E21" s="190"/>
      <c r="F21" s="190"/>
    </row>
    <row r="22" spans="1:6" s="179" customFormat="1" ht="18" customHeight="1" thickTop="1">
      <c r="A22" s="189"/>
      <c r="B22" s="192" t="s">
        <v>247</v>
      </c>
      <c r="C22" s="189"/>
      <c r="D22" s="189"/>
      <c r="E22" s="189"/>
      <c r="F22" s="189"/>
    </row>
    <row r="23" spans="1:3" s="179" customFormat="1" ht="18" customHeight="1">
      <c r="A23" s="178" t="s">
        <v>235</v>
      </c>
      <c r="B23" s="221" t="s">
        <v>236</v>
      </c>
      <c r="C23" s="221"/>
    </row>
    <row r="24" spans="2:6" s="179" customFormat="1" ht="18" customHeight="1">
      <c r="B24" s="179" t="s">
        <v>181</v>
      </c>
      <c r="C24" s="180">
        <v>360</v>
      </c>
      <c r="D24" s="179" t="s">
        <v>118</v>
      </c>
      <c r="E24" s="179" t="s">
        <v>237</v>
      </c>
      <c r="F24" s="180">
        <f>37.4*2</f>
        <v>74.8</v>
      </c>
    </row>
    <row r="25" spans="2:4" s="179" customFormat="1" ht="18" customHeight="1">
      <c r="B25" s="179" t="s">
        <v>238</v>
      </c>
      <c r="C25" s="180">
        <v>4</v>
      </c>
      <c r="D25" s="179" t="s">
        <v>6</v>
      </c>
    </row>
    <row r="26" spans="2:9" s="179" customFormat="1" ht="18" customHeight="1">
      <c r="B26" s="179" t="s">
        <v>167</v>
      </c>
      <c r="C26" s="181">
        <v>2100000</v>
      </c>
      <c r="D26" s="179" t="s">
        <v>239</v>
      </c>
      <c r="E26" s="182">
        <v>2100000</v>
      </c>
      <c r="G26" s="177"/>
      <c r="H26" s="177"/>
      <c r="I26" s="177"/>
    </row>
    <row r="27" spans="2:9" s="179" customFormat="1" ht="18" customHeight="1">
      <c r="B27" s="179" t="s">
        <v>240</v>
      </c>
      <c r="C27" s="180">
        <f>280*2</f>
        <v>560</v>
      </c>
      <c r="D27" s="179" t="s">
        <v>241</v>
      </c>
      <c r="E27" s="183"/>
      <c r="G27" s="177"/>
      <c r="H27" s="177"/>
      <c r="I27" s="177"/>
    </row>
    <row r="28" spans="3:9" s="179" customFormat="1" ht="18" customHeight="1">
      <c r="C28" s="184">
        <f>5*(C24/100)*((C25*100)^4)/(384*C26*C27)</f>
        <v>1.0204081632653061</v>
      </c>
      <c r="D28" s="179" t="s">
        <v>102</v>
      </c>
      <c r="E28" s="185" t="str">
        <f>IF(C28&lt;(C25*100/360),"O.K.","CHECK ")</f>
        <v>O.K.</v>
      </c>
      <c r="F28" s="186">
        <f>C25/360*100</f>
        <v>1.1111111111111112</v>
      </c>
      <c r="G28" s="177"/>
      <c r="H28" s="177"/>
      <c r="I28" s="177"/>
    </row>
    <row r="29" spans="2:9" s="179" customFormat="1" ht="18" customHeight="1">
      <c r="B29" s="187" t="s">
        <v>242</v>
      </c>
      <c r="C29" s="188">
        <f>(C24*C25^2/8*100/1440)</f>
        <v>50</v>
      </c>
      <c r="D29" s="189" t="s">
        <v>243</v>
      </c>
      <c r="E29" s="185" t="str">
        <f>IF(F24&gt;C29,"O.K.","CHECK")</f>
        <v>O.K.</v>
      </c>
      <c r="G29" s="177"/>
      <c r="H29" s="177"/>
      <c r="I29" s="177"/>
    </row>
    <row r="30" spans="1:9" s="179" customFormat="1" ht="18" customHeight="1" thickBot="1">
      <c r="A30" s="190"/>
      <c r="B30" s="190"/>
      <c r="C30" s="191" t="s">
        <v>248</v>
      </c>
      <c r="D30" s="190"/>
      <c r="E30" s="190"/>
      <c r="F30" s="190"/>
      <c r="G30" s="177"/>
      <c r="H30" s="177"/>
      <c r="I30" s="177"/>
    </row>
    <row r="31" spans="1:9" s="179" customFormat="1" ht="18" customHeight="1" thickTop="1">
      <c r="A31" s="189"/>
      <c r="B31" s="192" t="s">
        <v>247</v>
      </c>
      <c r="C31" s="189"/>
      <c r="D31" s="189"/>
      <c r="E31" s="189"/>
      <c r="F31" s="189"/>
      <c r="G31" s="177"/>
      <c r="H31" s="177"/>
      <c r="I31" s="177"/>
    </row>
    <row r="32" spans="1:9" s="179" customFormat="1" ht="18" customHeight="1">
      <c r="A32" s="178" t="s">
        <v>235</v>
      </c>
      <c r="B32" s="221" t="s">
        <v>236</v>
      </c>
      <c r="C32" s="221"/>
      <c r="G32" s="177"/>
      <c r="H32" s="177"/>
      <c r="I32" s="177"/>
    </row>
    <row r="33" spans="2:9" s="179" customFormat="1" ht="18" customHeight="1">
      <c r="B33" s="179" t="s">
        <v>181</v>
      </c>
      <c r="C33" s="180">
        <v>360</v>
      </c>
      <c r="D33" s="179" t="s">
        <v>118</v>
      </c>
      <c r="E33" s="179" t="s">
        <v>237</v>
      </c>
      <c r="F33" s="180">
        <v>58</v>
      </c>
      <c r="G33" s="177"/>
      <c r="H33" s="177"/>
      <c r="I33" s="177"/>
    </row>
    <row r="34" spans="2:9" s="179" customFormat="1" ht="18" customHeight="1">
      <c r="B34" s="179" t="s">
        <v>238</v>
      </c>
      <c r="C34" s="180">
        <v>3</v>
      </c>
      <c r="D34" s="179" t="s">
        <v>6</v>
      </c>
      <c r="G34" s="177"/>
      <c r="H34" s="177"/>
      <c r="I34" s="177"/>
    </row>
    <row r="35" spans="2:9" s="179" customFormat="1" ht="18" customHeight="1">
      <c r="B35" s="179" t="s">
        <v>167</v>
      </c>
      <c r="C35" s="181">
        <v>2100000</v>
      </c>
      <c r="D35" s="179" t="s">
        <v>239</v>
      </c>
      <c r="E35" s="182">
        <v>2100000</v>
      </c>
      <c r="G35" s="177"/>
      <c r="H35" s="177"/>
      <c r="I35" s="177"/>
    </row>
    <row r="36" spans="2:9" s="179" customFormat="1" ht="18" customHeight="1">
      <c r="B36" s="179" t="s">
        <v>240</v>
      </c>
      <c r="C36" s="180">
        <f>181*2</f>
        <v>362</v>
      </c>
      <c r="D36" s="179" t="s">
        <v>241</v>
      </c>
      <c r="E36" s="183"/>
      <c r="G36" s="177"/>
      <c r="H36" s="177"/>
      <c r="I36" s="177"/>
    </row>
    <row r="37" spans="3:9" s="179" customFormat="1" ht="18" customHeight="1">
      <c r="C37" s="184">
        <f>5*(C33/100)*((C34*100)^4)/(384*C35*C36)</f>
        <v>0.49945737963693765</v>
      </c>
      <c r="D37" s="179" t="s">
        <v>102</v>
      </c>
      <c r="E37" s="185" t="str">
        <f>IF(C37&lt;(C34*100/360),"O.K.","CHECK ")</f>
        <v>O.K.</v>
      </c>
      <c r="F37" s="186">
        <f>C34/360*100</f>
        <v>0.8333333333333334</v>
      </c>
      <c r="G37" s="177"/>
      <c r="H37" s="177"/>
      <c r="I37" s="177"/>
    </row>
    <row r="38" spans="2:9" s="179" customFormat="1" ht="18" customHeight="1">
      <c r="B38" s="187" t="s">
        <v>242</v>
      </c>
      <c r="C38" s="188">
        <f>(C33*C34^2/8*100/1440)</f>
        <v>28.125</v>
      </c>
      <c r="D38" s="189" t="s">
        <v>243</v>
      </c>
      <c r="E38" s="185" t="str">
        <f>IF(F33&gt;C38,"O.K.","CHECK")</f>
        <v>O.K.</v>
      </c>
      <c r="G38" s="177"/>
      <c r="H38" s="177"/>
      <c r="I38" s="177"/>
    </row>
    <row r="39" spans="1:9" s="179" customFormat="1" ht="18" customHeight="1" thickBot="1">
      <c r="A39" s="190"/>
      <c r="B39" s="190"/>
      <c r="C39" s="191" t="s">
        <v>249</v>
      </c>
      <c r="D39" s="190"/>
      <c r="E39" s="190"/>
      <c r="F39" s="190"/>
      <c r="G39" s="177"/>
      <c r="H39" s="177"/>
      <c r="I39" s="177"/>
    </row>
    <row r="40" ht="21.75" thickTop="1"/>
  </sheetData>
  <sheetProtection/>
  <mergeCells count="9">
    <mergeCell ref="C1:F1"/>
    <mergeCell ref="B2:D2"/>
    <mergeCell ref="E2:F2"/>
    <mergeCell ref="B3:D3"/>
    <mergeCell ref="E3:F3"/>
    <mergeCell ref="B32:C32"/>
    <mergeCell ref="B5:C5"/>
    <mergeCell ref="B14:C14"/>
    <mergeCell ref="B23:C23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L6" sqref="L6"/>
    </sheetView>
  </sheetViews>
  <sheetFormatPr defaultColWidth="9.140625" defaultRowHeight="21.75"/>
  <cols>
    <col min="1" max="1" width="11.8515625" style="145" customWidth="1"/>
    <col min="2" max="2" width="14.140625" style="145" customWidth="1"/>
    <col min="3" max="3" width="9.140625" style="145" customWidth="1"/>
    <col min="4" max="4" width="13.57421875" style="145" customWidth="1"/>
    <col min="5" max="16384" width="9.140625" style="145" customWidth="1"/>
  </cols>
  <sheetData>
    <row r="2" ht="47.25" customHeight="1">
      <c r="B2" s="193" t="s">
        <v>176</v>
      </c>
    </row>
    <row r="3" spans="1:6" ht="34.5" customHeight="1">
      <c r="A3" s="144"/>
      <c r="D3" s="146" t="s">
        <v>165</v>
      </c>
      <c r="E3" s="146" t="s">
        <v>250</v>
      </c>
      <c r="F3" s="146" t="s">
        <v>251</v>
      </c>
    </row>
    <row r="4" spans="4:6" ht="21.75" customHeight="1">
      <c r="D4" s="146" t="s">
        <v>252</v>
      </c>
      <c r="E4" s="146">
        <v>1.92</v>
      </c>
      <c r="F4" s="146">
        <v>10.344</v>
      </c>
    </row>
    <row r="5" spans="4:6" ht="21.75" customHeight="1">
      <c r="D5" s="146"/>
      <c r="E5" s="146"/>
      <c r="F5" s="146"/>
    </row>
    <row r="6" spans="1:2" ht="19.5" customHeight="1">
      <c r="A6" s="145" t="s">
        <v>253</v>
      </c>
      <c r="B6" s="146"/>
    </row>
    <row r="7" spans="1:7" ht="19.5" customHeight="1">
      <c r="A7" s="146" t="s">
        <v>167</v>
      </c>
      <c r="B7" s="194">
        <v>2100000</v>
      </c>
      <c r="C7" s="145" t="s">
        <v>142</v>
      </c>
      <c r="E7" s="146" t="s">
        <v>254</v>
      </c>
      <c r="F7" s="198">
        <v>1.5</v>
      </c>
      <c r="G7" s="146" t="s">
        <v>120</v>
      </c>
    </row>
    <row r="8" spans="1:7" ht="19.5" customHeight="1">
      <c r="A8" s="146" t="s">
        <v>168</v>
      </c>
      <c r="B8" s="194">
        <v>2400</v>
      </c>
      <c r="C8" s="145" t="s">
        <v>142</v>
      </c>
      <c r="E8" s="146" t="s">
        <v>255</v>
      </c>
      <c r="F8" s="198">
        <v>-480</v>
      </c>
      <c r="G8" s="146" t="s">
        <v>143</v>
      </c>
    </row>
    <row r="9" spans="1:2" ht="19.5" customHeight="1">
      <c r="A9" s="146" t="s">
        <v>169</v>
      </c>
      <c r="B9" s="146">
        <f>SQRT(2*PI()^2*B7/B8)</f>
        <v>131.42224964558466</v>
      </c>
    </row>
    <row r="10" spans="1:2" ht="19.5" customHeight="1">
      <c r="A10" s="146" t="s">
        <v>170</v>
      </c>
      <c r="B10" s="147">
        <v>1</v>
      </c>
    </row>
    <row r="11" spans="1:8" ht="19.5" customHeight="1">
      <c r="A11" s="146" t="s">
        <v>156</v>
      </c>
      <c r="B11" s="147">
        <v>1.5</v>
      </c>
      <c r="C11" s="145" t="s">
        <v>120</v>
      </c>
      <c r="E11" s="145" t="s">
        <v>256</v>
      </c>
      <c r="F11" s="195" t="s">
        <v>257</v>
      </c>
      <c r="G11" s="196"/>
      <c r="H11" s="197"/>
    </row>
    <row r="12" spans="1:3" ht="19.5" customHeight="1">
      <c r="A12" s="146" t="s">
        <v>166</v>
      </c>
      <c r="B12" s="147">
        <f>E4</f>
        <v>1.92</v>
      </c>
      <c r="C12" s="145" t="s">
        <v>102</v>
      </c>
    </row>
    <row r="13" spans="1:2" ht="19.5" customHeight="1">
      <c r="A13" s="146" t="s">
        <v>171</v>
      </c>
      <c r="B13" s="146">
        <f>B10*B11*100/B12</f>
        <v>78.125</v>
      </c>
    </row>
    <row r="14" spans="1:7" ht="19.5" customHeight="1">
      <c r="A14" s="146" t="s">
        <v>172</v>
      </c>
      <c r="B14" s="146">
        <f>B13/B9</f>
        <v>0.5944579415638145</v>
      </c>
      <c r="E14" s="222" t="s">
        <v>130</v>
      </c>
      <c r="F14" s="222"/>
      <c r="G14" s="222"/>
    </row>
    <row r="15" spans="1:7" ht="19.5" customHeight="1">
      <c r="A15" s="146" t="s">
        <v>173</v>
      </c>
      <c r="B15" s="146">
        <f>IF(B9&gt;=B13,((1-0.5*B14^2)*B8/(1.67+0.375*B14-0.125*B14^3)),(12*PI()^2*B7/(23*B13^2)))</f>
        <v>1058.543341447906</v>
      </c>
      <c r="C15" s="145" t="s">
        <v>142</v>
      </c>
      <c r="E15" s="222" t="s">
        <v>131</v>
      </c>
      <c r="F15" s="222"/>
      <c r="G15" s="222"/>
    </row>
    <row r="16" spans="1:7" ht="23.25" customHeight="1">
      <c r="A16" s="146" t="s">
        <v>221</v>
      </c>
      <c r="B16" s="147">
        <f>F4</f>
        <v>10.344</v>
      </c>
      <c r="C16" s="145" t="s">
        <v>174</v>
      </c>
      <c r="E16" s="222" t="s">
        <v>132</v>
      </c>
      <c r="F16" s="222"/>
      <c r="G16" s="222"/>
    </row>
    <row r="17" spans="1:3" ht="29.25">
      <c r="A17" s="148" t="s">
        <v>175</v>
      </c>
      <c r="B17" s="148">
        <f>B15*B16</f>
        <v>10949.572323937138</v>
      </c>
      <c r="C17" s="145" t="s">
        <v>143</v>
      </c>
    </row>
  </sheetData>
  <sheetProtection/>
  <mergeCells count="3">
    <mergeCell ref="E14:G14"/>
    <mergeCell ref="E15:G15"/>
    <mergeCell ref="E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Outlaw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Daffy &amp; Guffy</dc:creator>
  <cp:keywords/>
  <dc:description/>
  <cp:lastModifiedBy>Computer</cp:lastModifiedBy>
  <cp:lastPrinted>2008-05-15T02:58:08Z</cp:lastPrinted>
  <dcterms:created xsi:type="dcterms:W3CDTF">2000-09-01T03:50:41Z</dcterms:created>
  <dcterms:modified xsi:type="dcterms:W3CDTF">2014-11-05T01:03:05Z</dcterms:modified>
  <cp:category/>
  <cp:version/>
  <cp:contentType/>
  <cp:contentStatus/>
</cp:coreProperties>
</file>